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\TenderActe\SzoftAPSVajdaT\"/>
    </mc:Choice>
  </mc:AlternateContent>
  <bookViews>
    <workbookView xWindow="0" yWindow="0" windowWidth="24000" windowHeight="9735"/>
  </bookViews>
  <sheets>
    <sheet name="Allaskeret_2014-2015" sheetId="1" r:id="rId1"/>
    <sheet name="oraadohoz vacant-ok" sheetId="2" r:id="rId2"/>
    <sheet name="Szazalek szamitas" sheetId="3" r:id="rId3"/>
  </sheets>
  <definedNames>
    <definedName name="_xlnm._FilterDatabase" localSheetId="0" hidden="1">'Allaskeret_2014-2015'!$A$10:$AF$358</definedName>
    <definedName name="_xlnm._FilterDatabase" localSheetId="1" hidden="1">'oraadohoz vacant-ok'!$A$5:$R$77</definedName>
    <definedName name="_xlnm.Print_Area" localSheetId="0">'Allaskeret_2014-2015'!$A$2:$AF$358</definedName>
  </definedNames>
  <calcPr calcId="152511"/>
</workbook>
</file>

<file path=xl/calcChain.xml><?xml version="1.0" encoding="utf-8"?>
<calcChain xmlns="http://schemas.openxmlformats.org/spreadsheetml/2006/main">
  <c r="Y41" i="1" l="1"/>
  <c r="S16" i="1"/>
  <c r="L322" i="1"/>
  <c r="O322" i="1"/>
  <c r="L265" i="1"/>
  <c r="L266" i="1"/>
  <c r="L267" i="1"/>
  <c r="O263" i="1"/>
  <c r="O264" i="1"/>
  <c r="O265" i="1"/>
  <c r="O266" i="1"/>
  <c r="O267" i="1"/>
  <c r="Z328" i="1"/>
  <c r="Y328" i="1"/>
  <c r="X328" i="1"/>
  <c r="O328" i="1"/>
  <c r="L328" i="1"/>
  <c r="Z327" i="1"/>
  <c r="Y327" i="1"/>
  <c r="X327" i="1"/>
  <c r="O327" i="1"/>
  <c r="L327" i="1"/>
  <c r="Z326" i="1"/>
  <c r="X326" i="1"/>
  <c r="O326" i="1"/>
  <c r="L326" i="1"/>
  <c r="Z325" i="1"/>
  <c r="Y325" i="1"/>
  <c r="X325" i="1"/>
  <c r="O325" i="1"/>
  <c r="L325" i="1"/>
  <c r="Z324" i="1"/>
  <c r="Y324" i="1"/>
  <c r="X324" i="1"/>
  <c r="O324" i="1"/>
  <c r="L324" i="1"/>
  <c r="Z323" i="1"/>
  <c r="Y323" i="1"/>
  <c r="X323" i="1"/>
  <c r="O323" i="1"/>
  <c r="L323" i="1"/>
  <c r="Z322" i="1"/>
  <c r="Y322" i="1"/>
  <c r="X322" i="1"/>
  <c r="Z321" i="1"/>
  <c r="Y321" i="1"/>
  <c r="X321" i="1"/>
  <c r="S321" i="1"/>
  <c r="S320" i="1" s="1"/>
  <c r="Z320" i="1"/>
  <c r="Y320" i="1"/>
  <c r="X320" i="1"/>
  <c r="Q320" i="1"/>
  <c r="P320" i="1"/>
  <c r="N320" i="1"/>
  <c r="M320" i="1"/>
  <c r="L79" i="1"/>
  <c r="L80" i="1"/>
  <c r="L81" i="1"/>
  <c r="O79" i="1"/>
  <c r="O80" i="1"/>
  <c r="O81" i="1"/>
  <c r="X79" i="1"/>
  <c r="Z79" i="1"/>
  <c r="Y80" i="1"/>
  <c r="Z80" i="1"/>
  <c r="X81" i="1"/>
  <c r="Z81" i="1"/>
  <c r="X82" i="1"/>
  <c r="Y82" i="1"/>
  <c r="Z82" i="1"/>
  <c r="Y73" i="1"/>
  <c r="Z73" i="1"/>
  <c r="X74" i="1"/>
  <c r="Z74" i="1"/>
  <c r="X75" i="1"/>
  <c r="Y75" i="1"/>
  <c r="Z75" i="1"/>
  <c r="Y76" i="1"/>
  <c r="Z76" i="1"/>
  <c r="X77" i="1"/>
  <c r="Z77" i="1"/>
  <c r="X78" i="1"/>
  <c r="Z78" i="1"/>
  <c r="L76" i="1"/>
  <c r="L77" i="1"/>
  <c r="O76" i="1"/>
  <c r="O77" i="1"/>
  <c r="O78" i="1"/>
  <c r="L78" i="1"/>
  <c r="O74" i="1"/>
  <c r="L74" i="1"/>
  <c r="X295" i="1"/>
  <c r="Y295" i="1"/>
  <c r="X296" i="1"/>
  <c r="Y296" i="1"/>
  <c r="X297" i="1"/>
  <c r="Y297" i="1"/>
  <c r="Z297" i="1"/>
  <c r="Y298" i="1"/>
  <c r="Z298" i="1"/>
  <c r="Y299" i="1"/>
  <c r="Z299" i="1"/>
  <c r="X300" i="1"/>
  <c r="Z300" i="1"/>
  <c r="Y289" i="1"/>
  <c r="Z289" i="1"/>
  <c r="X290" i="1"/>
  <c r="Y290" i="1"/>
  <c r="Z290" i="1"/>
  <c r="Y291" i="1"/>
  <c r="Z291" i="1"/>
  <c r="Y292" i="1"/>
  <c r="Z292" i="1"/>
  <c r="Y276" i="1"/>
  <c r="Z276" i="1"/>
  <c r="X277" i="1"/>
  <c r="Y277" i="1"/>
  <c r="Y278" i="1"/>
  <c r="Z278" i="1"/>
  <c r="Y279" i="1"/>
  <c r="Z279" i="1"/>
  <c r="X280" i="1"/>
  <c r="Y280" i="1"/>
  <c r="X281" i="1"/>
  <c r="Y281" i="1"/>
  <c r="Z281" i="1"/>
  <c r="X282" i="1"/>
  <c r="Y282" i="1"/>
  <c r="Z282" i="1"/>
  <c r="X283" i="1"/>
  <c r="Y283" i="1"/>
  <c r="Z283" i="1"/>
  <c r="X284" i="1"/>
  <c r="Y284" i="1"/>
  <c r="Z284" i="1"/>
  <c r="X285" i="1"/>
  <c r="Y285" i="1"/>
  <c r="X286" i="1"/>
  <c r="Y286" i="1"/>
  <c r="Z286" i="1"/>
  <c r="X287" i="1"/>
  <c r="Y287" i="1"/>
  <c r="X288" i="1"/>
  <c r="Y288" i="1"/>
  <c r="X220" i="1"/>
  <c r="Y220" i="1"/>
  <c r="X162" i="1"/>
  <c r="Z162" i="1"/>
  <c r="X163" i="1"/>
  <c r="Z163" i="1"/>
  <c r="Y164" i="1"/>
  <c r="Z164" i="1"/>
  <c r="X147" i="1"/>
  <c r="Z147" i="1"/>
  <c r="X138" i="1"/>
  <c r="Z138" i="1"/>
  <c r="X139" i="1"/>
  <c r="Y139" i="1"/>
  <c r="Z139" i="1"/>
  <c r="X120" i="1"/>
  <c r="Z120" i="1"/>
  <c r="X98" i="1"/>
  <c r="Y98" i="1"/>
  <c r="Z98" i="1"/>
  <c r="X67" i="1"/>
  <c r="Y67" i="1"/>
  <c r="X48" i="1"/>
  <c r="Z48" i="1"/>
  <c r="X49" i="1"/>
  <c r="Y49" i="1"/>
  <c r="Z49" i="1"/>
  <c r="K325" i="1" l="1"/>
  <c r="K327" i="1"/>
  <c r="K323" i="1"/>
  <c r="K324" i="1"/>
  <c r="K328" i="1"/>
  <c r="AC320" i="1"/>
  <c r="AF320" i="1" s="1"/>
  <c r="L320" i="1"/>
  <c r="K326" i="1"/>
  <c r="AA320" i="1"/>
  <c r="AD320" i="1" s="1"/>
  <c r="O320" i="1"/>
  <c r="K322" i="1"/>
  <c r="K74" i="1"/>
  <c r="Y74" i="1" s="1"/>
  <c r="K77" i="1"/>
  <c r="Y77" i="1" s="1"/>
  <c r="K78" i="1"/>
  <c r="Y78" i="1" s="1"/>
  <c r="L135" i="1"/>
  <c r="L136" i="1"/>
  <c r="L137" i="1"/>
  <c r="L138" i="1"/>
  <c r="L139" i="1"/>
  <c r="O135" i="1"/>
  <c r="O136" i="1"/>
  <c r="O137" i="1"/>
  <c r="O138" i="1"/>
  <c r="O139" i="1"/>
  <c r="O140" i="1"/>
  <c r="L271" i="1"/>
  <c r="L272" i="1"/>
  <c r="L263" i="1"/>
  <c r="L264" i="1"/>
  <c r="L268" i="1"/>
  <c r="L269" i="1"/>
  <c r="L270" i="1"/>
  <c r="O268" i="1"/>
  <c r="O269" i="1"/>
  <c r="O270" i="1"/>
  <c r="O271" i="1"/>
  <c r="O272" i="1"/>
  <c r="O273" i="1"/>
  <c r="L296" i="1"/>
  <c r="L297" i="1"/>
  <c r="L298" i="1"/>
  <c r="L299" i="1"/>
  <c r="L254" i="1"/>
  <c r="L255" i="1"/>
  <c r="L256" i="1"/>
  <c r="L257" i="1"/>
  <c r="L258" i="1"/>
  <c r="O254" i="1"/>
  <c r="O255" i="1"/>
  <c r="O256" i="1"/>
  <c r="O257" i="1"/>
  <c r="O258" i="1"/>
  <c r="L287" i="1"/>
  <c r="L288" i="1"/>
  <c r="L289" i="1"/>
  <c r="L290" i="1"/>
  <c r="L291" i="1"/>
  <c r="L292" i="1"/>
  <c r="O289" i="1"/>
  <c r="O290" i="1"/>
  <c r="O291" i="1"/>
  <c r="O292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L277" i="1"/>
  <c r="L278" i="1"/>
  <c r="L279" i="1"/>
  <c r="L280" i="1"/>
  <c r="L281" i="1"/>
  <c r="L282" i="1"/>
  <c r="L283" i="1"/>
  <c r="L284" i="1"/>
  <c r="L285" i="1"/>
  <c r="L286" i="1"/>
  <c r="M274" i="1"/>
  <c r="N274" i="1"/>
  <c r="P274" i="1"/>
  <c r="Q274" i="1"/>
  <c r="M89" i="1"/>
  <c r="N89" i="1"/>
  <c r="P89" i="1"/>
  <c r="Q89" i="1"/>
  <c r="O94" i="1"/>
  <c r="O95" i="1"/>
  <c r="O96" i="1"/>
  <c r="L94" i="1"/>
  <c r="L95" i="1"/>
  <c r="L96" i="1"/>
  <c r="O100" i="1"/>
  <c r="L100" i="1"/>
  <c r="O99" i="1"/>
  <c r="L99" i="1"/>
  <c r="O98" i="1"/>
  <c r="L98" i="1"/>
  <c r="O276" i="1"/>
  <c r="L276" i="1"/>
  <c r="L92" i="1"/>
  <c r="L93" i="1"/>
  <c r="L259" i="1"/>
  <c r="L97" i="1"/>
  <c r="O92" i="1"/>
  <c r="O93" i="1"/>
  <c r="O259" i="1"/>
  <c r="O97" i="1"/>
  <c r="L313" i="1"/>
  <c r="O313" i="1"/>
  <c r="O312" i="1"/>
  <c r="O314" i="1"/>
  <c r="L312" i="1"/>
  <c r="L314" i="1"/>
  <c r="O296" i="1"/>
  <c r="O297" i="1"/>
  <c r="O298" i="1"/>
  <c r="O299" i="1"/>
  <c r="O300" i="1"/>
  <c r="O217" i="1"/>
  <c r="O218" i="1"/>
  <c r="O219" i="1"/>
  <c r="O220" i="1"/>
  <c r="O221" i="1"/>
  <c r="L217" i="1"/>
  <c r="L218" i="1"/>
  <c r="L219" i="1"/>
  <c r="L220" i="1"/>
  <c r="L221" i="1"/>
  <c r="L207" i="1"/>
  <c r="L208" i="1"/>
  <c r="L209" i="1"/>
  <c r="L210" i="1"/>
  <c r="L211" i="1"/>
  <c r="O207" i="1"/>
  <c r="O208" i="1"/>
  <c r="O209" i="1"/>
  <c r="O210" i="1"/>
  <c r="O211" i="1"/>
  <c r="X197" i="1"/>
  <c r="Y197" i="1"/>
  <c r="O194" i="1"/>
  <c r="O195" i="1"/>
  <c r="O196" i="1"/>
  <c r="O197" i="1"/>
  <c r="O198" i="1"/>
  <c r="L194" i="1"/>
  <c r="L195" i="1"/>
  <c r="L196" i="1"/>
  <c r="L197" i="1"/>
  <c r="X188" i="1"/>
  <c r="Y188" i="1"/>
  <c r="Z188" i="1"/>
  <c r="Y184" i="1"/>
  <c r="Z184" i="1"/>
  <c r="O181" i="1"/>
  <c r="O182" i="1"/>
  <c r="O183" i="1"/>
  <c r="O184" i="1"/>
  <c r="O185" i="1"/>
  <c r="O186" i="1"/>
  <c r="O187" i="1"/>
  <c r="O188" i="1"/>
  <c r="L180" i="1"/>
  <c r="L181" i="1"/>
  <c r="L182" i="1"/>
  <c r="L183" i="1"/>
  <c r="L184" i="1"/>
  <c r="L185" i="1"/>
  <c r="L186" i="1"/>
  <c r="L187" i="1"/>
  <c r="L188" i="1"/>
  <c r="Y174" i="1"/>
  <c r="Z174" i="1"/>
  <c r="O169" i="1"/>
  <c r="O170" i="1"/>
  <c r="O171" i="1"/>
  <c r="O172" i="1"/>
  <c r="O173" i="1"/>
  <c r="O174" i="1"/>
  <c r="O175" i="1"/>
  <c r="L169" i="1"/>
  <c r="L170" i="1"/>
  <c r="L171" i="1"/>
  <c r="L172" i="1"/>
  <c r="L173" i="1"/>
  <c r="L174" i="1"/>
  <c r="L175" i="1"/>
  <c r="O145" i="1"/>
  <c r="O146" i="1"/>
  <c r="O147" i="1"/>
  <c r="O148" i="1"/>
  <c r="O149" i="1"/>
  <c r="O150" i="1"/>
  <c r="L145" i="1"/>
  <c r="L146" i="1"/>
  <c r="L147" i="1"/>
  <c r="L148" i="1"/>
  <c r="L149" i="1"/>
  <c r="L150" i="1"/>
  <c r="M101" i="1"/>
  <c r="N101" i="1"/>
  <c r="P101" i="1"/>
  <c r="Q101" i="1"/>
  <c r="O141" i="1"/>
  <c r="L140" i="1"/>
  <c r="L141" i="1"/>
  <c r="O126" i="1"/>
  <c r="O127" i="1"/>
  <c r="O128" i="1"/>
  <c r="O129" i="1"/>
  <c r="O130" i="1"/>
  <c r="O131" i="1"/>
  <c r="L126" i="1"/>
  <c r="L127" i="1"/>
  <c r="L128" i="1"/>
  <c r="L129" i="1"/>
  <c r="L130" i="1"/>
  <c r="L131" i="1"/>
  <c r="O117" i="1"/>
  <c r="O118" i="1"/>
  <c r="O119" i="1"/>
  <c r="O120" i="1"/>
  <c r="O121" i="1"/>
  <c r="O122" i="1"/>
  <c r="L117" i="1"/>
  <c r="L118" i="1"/>
  <c r="L119" i="1"/>
  <c r="L120" i="1"/>
  <c r="L121" i="1"/>
  <c r="L122" i="1"/>
  <c r="O64" i="1"/>
  <c r="O65" i="1"/>
  <c r="O66" i="1"/>
  <c r="O67" i="1"/>
  <c r="O68" i="1"/>
  <c r="O69" i="1"/>
  <c r="L64" i="1"/>
  <c r="L65" i="1"/>
  <c r="L66" i="1"/>
  <c r="L67" i="1"/>
  <c r="L68" i="1"/>
  <c r="L69" i="1"/>
  <c r="Q61" i="1"/>
  <c r="P61" i="1"/>
  <c r="L53" i="1"/>
  <c r="L54" i="1"/>
  <c r="L55" i="1"/>
  <c r="L56" i="1"/>
  <c r="L57" i="1"/>
  <c r="L58" i="1"/>
  <c r="L59" i="1"/>
  <c r="L60" i="1"/>
  <c r="O53" i="1"/>
  <c r="O54" i="1"/>
  <c r="O55" i="1"/>
  <c r="O56" i="1"/>
  <c r="O57" i="1"/>
  <c r="O58" i="1"/>
  <c r="O59" i="1"/>
  <c r="O60" i="1"/>
  <c r="O39" i="1"/>
  <c r="O40" i="1"/>
  <c r="O41" i="1"/>
  <c r="O42" i="1"/>
  <c r="L39" i="1"/>
  <c r="L40" i="1"/>
  <c r="L41" i="1"/>
  <c r="L42" i="1"/>
  <c r="O18" i="1"/>
  <c r="O19" i="1"/>
  <c r="O20" i="1"/>
  <c r="O21" i="1"/>
  <c r="O22" i="1"/>
  <c r="O23" i="1"/>
  <c r="O24" i="1"/>
  <c r="L18" i="1"/>
  <c r="L19" i="1"/>
  <c r="L20" i="1"/>
  <c r="L21" i="1"/>
  <c r="L22" i="1"/>
  <c r="L23" i="1"/>
  <c r="L24" i="1"/>
  <c r="X22" i="1"/>
  <c r="Z22" i="1"/>
  <c r="Y129" i="1"/>
  <c r="Z129" i="1"/>
  <c r="X211" i="1"/>
  <c r="Y211" i="1"/>
  <c r="Z211" i="1"/>
  <c r="X57" i="1"/>
  <c r="Y57" i="1"/>
  <c r="K320" i="1" l="1"/>
  <c r="K321" i="1" s="1"/>
  <c r="R321" i="1" s="1"/>
  <c r="K298" i="1"/>
  <c r="X298" i="1" s="1"/>
  <c r="K296" i="1"/>
  <c r="Z296" i="1" s="1"/>
  <c r="K263" i="1"/>
  <c r="K299" i="1"/>
  <c r="X299" i="1" s="1"/>
  <c r="K297" i="1"/>
  <c r="K281" i="1"/>
  <c r="K95" i="1"/>
  <c r="K100" i="1"/>
  <c r="K96" i="1"/>
  <c r="K279" i="1"/>
  <c r="X279" i="1" s="1"/>
  <c r="K92" i="1"/>
  <c r="K280" i="1"/>
  <c r="Z280" i="1" s="1"/>
  <c r="K98" i="1"/>
  <c r="K99" i="1"/>
  <c r="K79" i="1"/>
  <c r="K259" i="1"/>
  <c r="K97" i="1"/>
  <c r="K257" i="1"/>
  <c r="K276" i="1"/>
  <c r="K255" i="1"/>
  <c r="K94" i="1"/>
  <c r="K93" i="1"/>
  <c r="K265" i="1"/>
  <c r="K174" i="1"/>
  <c r="X174" i="1" s="1"/>
  <c r="K18" i="1"/>
  <c r="K23" i="1"/>
  <c r="K21" i="1"/>
  <c r="K20" i="1"/>
  <c r="K24" i="1"/>
  <c r="K22" i="1"/>
  <c r="Y22" i="1" s="1"/>
  <c r="K19" i="1"/>
  <c r="Y173" i="1"/>
  <c r="Z173" i="1"/>
  <c r="R320" i="1" l="1"/>
  <c r="Y79" i="1"/>
  <c r="X276" i="1"/>
  <c r="K173" i="1"/>
  <c r="X173" i="1" s="1"/>
  <c r="L273" i="1"/>
  <c r="N61" i="1" l="1"/>
  <c r="M61" i="1"/>
  <c r="Z65" i="1"/>
  <c r="Z66" i="1"/>
  <c r="Z68" i="1"/>
  <c r="Z69" i="1"/>
  <c r="Y65" i="1"/>
  <c r="Y66" i="1"/>
  <c r="Y68" i="1"/>
  <c r="Y69" i="1"/>
  <c r="X68" i="1"/>
  <c r="X69" i="1"/>
  <c r="S352" i="1" l="1"/>
  <c r="S345" i="1"/>
  <c r="S344" i="1" s="1"/>
  <c r="S333" i="1"/>
  <c r="S332" i="1" s="1"/>
  <c r="L353" i="1" l="1"/>
  <c r="L354" i="1"/>
  <c r="O353" i="1"/>
  <c r="O354" i="1"/>
  <c r="L355" i="1"/>
  <c r="L356" i="1"/>
  <c r="L357" i="1"/>
  <c r="L358" i="1"/>
  <c r="O355" i="1"/>
  <c r="O356" i="1"/>
  <c r="O357" i="1"/>
  <c r="O358" i="1"/>
  <c r="Q351" i="1"/>
  <c r="P351" i="1"/>
  <c r="M351" i="1"/>
  <c r="N351" i="1"/>
  <c r="O348" i="1"/>
  <c r="O349" i="1"/>
  <c r="L348" i="1"/>
  <c r="L349" i="1"/>
  <c r="L339" i="1"/>
  <c r="L340" i="1"/>
  <c r="L341" i="1"/>
  <c r="L342" i="1"/>
  <c r="L343" i="1"/>
  <c r="O339" i="1"/>
  <c r="O340" i="1"/>
  <c r="O341" i="1"/>
  <c r="O342" i="1"/>
  <c r="L108" i="1"/>
  <c r="O108" i="1"/>
  <c r="Z214" i="1"/>
  <c r="Y214" i="1"/>
  <c r="L198" i="1"/>
  <c r="X105" i="1"/>
  <c r="Y105" i="1"/>
  <c r="Z105" i="1"/>
  <c r="Y106" i="1"/>
  <c r="Z106" i="1"/>
  <c r="L105" i="1"/>
  <c r="L106" i="1"/>
  <c r="O105" i="1"/>
  <c r="O106" i="1"/>
  <c r="X89" i="1"/>
  <c r="Y89" i="1"/>
  <c r="Z89" i="1"/>
  <c r="X90" i="1"/>
  <c r="Y90" i="1"/>
  <c r="Z90" i="1"/>
  <c r="X92" i="1"/>
  <c r="Y92" i="1"/>
  <c r="Y93" i="1"/>
  <c r="Z93" i="1"/>
  <c r="X94" i="1"/>
  <c r="Z94" i="1"/>
  <c r="X95" i="1"/>
  <c r="Y95" i="1"/>
  <c r="Z95" i="1"/>
  <c r="X96" i="1"/>
  <c r="Y96" i="1"/>
  <c r="Z96" i="1"/>
  <c r="X97" i="1"/>
  <c r="Y97" i="1"/>
  <c r="Z97" i="1"/>
  <c r="X99" i="1"/>
  <c r="Y99" i="1"/>
  <c r="X100" i="1"/>
  <c r="Y100" i="1"/>
  <c r="Z100" i="1"/>
  <c r="X101" i="1"/>
  <c r="Y101" i="1"/>
  <c r="Z101" i="1"/>
  <c r="X102" i="1"/>
  <c r="Y102" i="1"/>
  <c r="Z102" i="1"/>
  <c r="Y103" i="1"/>
  <c r="X104" i="1"/>
  <c r="Z104" i="1"/>
  <c r="X107" i="1"/>
  <c r="Y107" i="1"/>
  <c r="X108" i="1"/>
  <c r="Y108" i="1"/>
  <c r="X109" i="1"/>
  <c r="Z109" i="1"/>
  <c r="Y110" i="1"/>
  <c r="Z110" i="1"/>
  <c r="Y111" i="1"/>
  <c r="Z111" i="1"/>
  <c r="X112" i="1"/>
  <c r="Y112" i="1"/>
  <c r="X113" i="1"/>
  <c r="Y113" i="1"/>
  <c r="Z113" i="1"/>
  <c r="X114" i="1"/>
  <c r="Y114" i="1"/>
  <c r="Z114" i="1"/>
  <c r="X115" i="1"/>
  <c r="Y115" i="1"/>
  <c r="Z115" i="1"/>
  <c r="X116" i="1"/>
  <c r="X118" i="1"/>
  <c r="Y118" i="1"/>
  <c r="X119" i="1"/>
  <c r="Y119" i="1"/>
  <c r="X121" i="1"/>
  <c r="Z121" i="1"/>
  <c r="X122" i="1"/>
  <c r="Y122" i="1"/>
  <c r="X123" i="1"/>
  <c r="Y123" i="1"/>
  <c r="Z123" i="1"/>
  <c r="X124" i="1"/>
  <c r="Y124" i="1"/>
  <c r="Z124" i="1"/>
  <c r="Y125" i="1"/>
  <c r="Z125" i="1"/>
  <c r="Y126" i="1"/>
  <c r="Z126" i="1"/>
  <c r="Y127" i="1"/>
  <c r="Z127" i="1"/>
  <c r="Y128" i="1"/>
  <c r="Z128" i="1"/>
  <c r="X130" i="1"/>
  <c r="Y130" i="1"/>
  <c r="Y131" i="1"/>
  <c r="Z131" i="1"/>
  <c r="X132" i="1"/>
  <c r="Y132" i="1"/>
  <c r="Z132" i="1"/>
  <c r="X133" i="1"/>
  <c r="Y133" i="1"/>
  <c r="Z133" i="1"/>
  <c r="Y134" i="1"/>
  <c r="Y136" i="1"/>
  <c r="Z136" i="1"/>
  <c r="X137" i="1"/>
  <c r="Y137" i="1"/>
  <c r="Y140" i="1"/>
  <c r="Z140" i="1"/>
  <c r="X141" i="1"/>
  <c r="Z141" i="1"/>
  <c r="X142" i="1"/>
  <c r="Y142" i="1"/>
  <c r="Z142" i="1"/>
  <c r="X143" i="1"/>
  <c r="Y143" i="1"/>
  <c r="Z143" i="1"/>
  <c r="Y144" i="1"/>
  <c r="Y146" i="1"/>
  <c r="Z146" i="1"/>
  <c r="X148" i="1"/>
  <c r="Y148" i="1"/>
  <c r="X149" i="1"/>
  <c r="Y149" i="1"/>
  <c r="Y150" i="1"/>
  <c r="Z150" i="1"/>
  <c r="X151" i="1"/>
  <c r="Y151" i="1"/>
  <c r="Z151" i="1"/>
  <c r="X152" i="1"/>
  <c r="Y152" i="1"/>
  <c r="Z152" i="1"/>
  <c r="Y153" i="1"/>
  <c r="Z153" i="1"/>
  <c r="X154" i="1"/>
  <c r="Z154" i="1"/>
  <c r="Y155" i="1"/>
  <c r="Z155" i="1"/>
  <c r="Y156" i="1"/>
  <c r="Z156" i="1"/>
  <c r="X157" i="1"/>
  <c r="Y157" i="1"/>
  <c r="Z157" i="1"/>
  <c r="X158" i="1"/>
  <c r="Y158" i="1"/>
  <c r="Z158" i="1"/>
  <c r="Y159" i="1"/>
  <c r="Z159" i="1"/>
  <c r="Y160" i="1"/>
  <c r="Z160" i="1"/>
  <c r="X161" i="1"/>
  <c r="Y161" i="1"/>
  <c r="Z161" i="1"/>
  <c r="Y165" i="1"/>
  <c r="Z165" i="1"/>
  <c r="X166" i="1"/>
  <c r="Y166" i="1"/>
  <c r="Z166" i="1"/>
  <c r="X167" i="1"/>
  <c r="Y167" i="1"/>
  <c r="Z167" i="1"/>
  <c r="X168" i="1"/>
  <c r="Y168" i="1"/>
  <c r="Z168" i="1"/>
  <c r="Z169" i="1"/>
  <c r="X170" i="1"/>
  <c r="Z170" i="1"/>
  <c r="Y171" i="1"/>
  <c r="Z171" i="1"/>
  <c r="Y172" i="1"/>
  <c r="Z172" i="1"/>
  <c r="X175" i="1"/>
  <c r="Z175" i="1"/>
  <c r="Y176" i="1"/>
  <c r="Z176" i="1"/>
  <c r="X177" i="1"/>
  <c r="Y177" i="1"/>
  <c r="Z177" i="1"/>
  <c r="X178" i="1"/>
  <c r="Y178" i="1"/>
  <c r="Z178" i="1"/>
  <c r="Y179" i="1"/>
  <c r="Z179" i="1"/>
  <c r="Y181" i="1"/>
  <c r="Z181" i="1"/>
  <c r="X182" i="1"/>
  <c r="Z182" i="1"/>
  <c r="Y183" i="1"/>
  <c r="Z183" i="1"/>
  <c r="X185" i="1"/>
  <c r="Y185" i="1"/>
  <c r="Y186" i="1"/>
  <c r="Z186" i="1"/>
  <c r="X187" i="1"/>
  <c r="Z187" i="1"/>
  <c r="X189" i="1"/>
  <c r="Z189" i="1"/>
  <c r="Y190" i="1"/>
  <c r="Z190" i="1"/>
  <c r="X191" i="1"/>
  <c r="Y191" i="1"/>
  <c r="Z191" i="1"/>
  <c r="X192" i="1"/>
  <c r="Y192" i="1"/>
  <c r="Z192" i="1"/>
  <c r="X195" i="1"/>
  <c r="Y195" i="1"/>
  <c r="X196" i="1"/>
  <c r="Y196" i="1"/>
  <c r="X198" i="1"/>
  <c r="Y198" i="1"/>
  <c r="Z198" i="1"/>
  <c r="Y199" i="1"/>
  <c r="Z199" i="1"/>
  <c r="Y200" i="1"/>
  <c r="Z200" i="1"/>
  <c r="X201" i="1"/>
  <c r="Y201" i="1"/>
  <c r="X202" i="1"/>
  <c r="Z202" i="1"/>
  <c r="X203" i="1"/>
  <c r="Z203" i="1"/>
  <c r="X204" i="1"/>
  <c r="Y204" i="1"/>
  <c r="Z204" i="1"/>
  <c r="X205" i="1"/>
  <c r="Y205" i="1"/>
  <c r="Z205" i="1"/>
  <c r="X207" i="1"/>
  <c r="Y207" i="1"/>
  <c r="Z207" i="1"/>
  <c r="X208" i="1"/>
  <c r="Y208" i="1"/>
  <c r="Z208" i="1"/>
  <c r="X209" i="1"/>
  <c r="Y209" i="1"/>
  <c r="Y210" i="1"/>
  <c r="Z210" i="1"/>
  <c r="X212" i="1"/>
  <c r="Y212" i="1"/>
  <c r="Z212" i="1"/>
  <c r="X213" i="1"/>
  <c r="Z213" i="1"/>
  <c r="X214" i="1"/>
  <c r="X215" i="1"/>
  <c r="Y215" i="1"/>
  <c r="Z215" i="1"/>
  <c r="X216" i="1"/>
  <c r="Y216" i="1"/>
  <c r="X217" i="1"/>
  <c r="Y217" i="1"/>
  <c r="X218" i="1"/>
  <c r="Y218" i="1"/>
  <c r="Z218" i="1"/>
  <c r="X219" i="1"/>
  <c r="Z219" i="1"/>
  <c r="X221" i="1"/>
  <c r="Z221" i="1"/>
  <c r="X222" i="1"/>
  <c r="Y222" i="1"/>
  <c r="Z222" i="1"/>
  <c r="X223" i="1"/>
  <c r="Y223" i="1"/>
  <c r="Z223" i="1"/>
  <c r="X224" i="1"/>
  <c r="Y224" i="1"/>
  <c r="Z224" i="1"/>
  <c r="X225" i="1"/>
  <c r="Z225" i="1"/>
  <c r="X226" i="1"/>
  <c r="Z226" i="1"/>
  <c r="Y227" i="1"/>
  <c r="X228" i="1"/>
  <c r="Z228" i="1"/>
  <c r="X229" i="1"/>
  <c r="Z229" i="1"/>
  <c r="Y230" i="1"/>
  <c r="Z230" i="1"/>
  <c r="X231" i="1"/>
  <c r="Y231" i="1"/>
  <c r="X232" i="1"/>
  <c r="Y232" i="1"/>
  <c r="Z232" i="1"/>
  <c r="X233" i="1"/>
  <c r="Y233" i="1"/>
  <c r="Z233" i="1"/>
  <c r="X234" i="1"/>
  <c r="Z234" i="1"/>
  <c r="X236" i="1"/>
  <c r="Z236" i="1"/>
  <c r="X237" i="1"/>
  <c r="Z237" i="1"/>
  <c r="X238" i="1"/>
  <c r="Z238" i="1"/>
  <c r="X239" i="1"/>
  <c r="Z239" i="1"/>
  <c r="X240" i="1"/>
  <c r="Z240" i="1"/>
  <c r="X241" i="1"/>
  <c r="Z241" i="1"/>
  <c r="X242" i="1"/>
  <c r="Y242" i="1"/>
  <c r="Z242" i="1"/>
  <c r="X243" i="1"/>
  <c r="Y243" i="1"/>
  <c r="Z243" i="1"/>
  <c r="X244" i="1"/>
  <c r="Z244" i="1"/>
  <c r="X245" i="1"/>
  <c r="Z245" i="1"/>
  <c r="X247" i="1"/>
  <c r="Z247" i="1"/>
  <c r="X248" i="1"/>
  <c r="Z248" i="1"/>
  <c r="X249" i="1"/>
  <c r="Z249" i="1"/>
  <c r="X250" i="1"/>
  <c r="Z250" i="1"/>
  <c r="X251" i="1"/>
  <c r="Y251" i="1"/>
  <c r="Z251" i="1"/>
  <c r="X252" i="1"/>
  <c r="Y252" i="1"/>
  <c r="Z252" i="1"/>
  <c r="Z253" i="1"/>
  <c r="X254" i="1"/>
  <c r="Y254" i="1"/>
  <c r="Z254" i="1"/>
  <c r="X255" i="1"/>
  <c r="Y255" i="1"/>
  <c r="Z255" i="1"/>
  <c r="X256" i="1"/>
  <c r="Y256" i="1"/>
  <c r="X257" i="1"/>
  <c r="Z257" i="1"/>
  <c r="X258" i="1"/>
  <c r="Z258" i="1"/>
  <c r="X259" i="1"/>
  <c r="Y259" i="1"/>
  <c r="X260" i="1"/>
  <c r="Y260" i="1"/>
  <c r="Z260" i="1"/>
  <c r="X261" i="1"/>
  <c r="Y261" i="1"/>
  <c r="Z261" i="1"/>
  <c r="X262" i="1"/>
  <c r="Z262" i="1"/>
  <c r="X263" i="1"/>
  <c r="Z263" i="1"/>
  <c r="X264" i="1"/>
  <c r="Z264" i="1"/>
  <c r="X265" i="1"/>
  <c r="Z265" i="1"/>
  <c r="X266" i="1"/>
  <c r="Z266" i="1"/>
  <c r="X268" i="1"/>
  <c r="Z268" i="1"/>
  <c r="X269" i="1"/>
  <c r="Z269" i="1"/>
  <c r="X271" i="1"/>
  <c r="Z271" i="1"/>
  <c r="Y272" i="1"/>
  <c r="Z272" i="1"/>
  <c r="X274" i="1"/>
  <c r="Y274" i="1"/>
  <c r="Z274" i="1"/>
  <c r="X275" i="1"/>
  <c r="Y275" i="1"/>
  <c r="Z275" i="1"/>
  <c r="X293" i="1"/>
  <c r="Y293" i="1"/>
  <c r="Z293" i="1"/>
  <c r="X294" i="1"/>
  <c r="Y294" i="1"/>
  <c r="Z294" i="1"/>
  <c r="X301" i="1"/>
  <c r="Z301" i="1"/>
  <c r="X302" i="1"/>
  <c r="Z302" i="1"/>
  <c r="X303" i="1"/>
  <c r="Y303" i="1"/>
  <c r="Y304" i="1"/>
  <c r="Z304" i="1"/>
  <c r="Y305" i="1"/>
  <c r="Z305" i="1"/>
  <c r="X306" i="1"/>
  <c r="Y306" i="1"/>
  <c r="Z306" i="1"/>
  <c r="X307" i="1"/>
  <c r="Y307" i="1"/>
  <c r="Z307" i="1"/>
  <c r="X308" i="1"/>
  <c r="Z308" i="1"/>
  <c r="X309" i="1"/>
  <c r="Y309" i="1"/>
  <c r="Y310" i="1"/>
  <c r="Z310" i="1"/>
  <c r="X311" i="1"/>
  <c r="Y311" i="1"/>
  <c r="Z311" i="1"/>
  <c r="X312" i="1"/>
  <c r="Y312" i="1"/>
  <c r="Z312" i="1"/>
  <c r="X315" i="1"/>
  <c r="Y315" i="1"/>
  <c r="X316" i="1"/>
  <c r="Y316" i="1"/>
  <c r="X317" i="1"/>
  <c r="Y317" i="1"/>
  <c r="X318" i="1"/>
  <c r="Y318" i="1"/>
  <c r="X319" i="1"/>
  <c r="Z319" i="1"/>
  <c r="L91" i="1"/>
  <c r="L89" i="1" s="1"/>
  <c r="P15" i="1"/>
  <c r="Q15" i="1"/>
  <c r="M15" i="1"/>
  <c r="N15" i="1"/>
  <c r="P260" i="1"/>
  <c r="N260" i="1"/>
  <c r="Q260" i="1"/>
  <c r="M260" i="1"/>
  <c r="L162" i="1"/>
  <c r="L163" i="1"/>
  <c r="L262" i="1"/>
  <c r="L300" i="1"/>
  <c r="L107" i="1"/>
  <c r="O162" i="1"/>
  <c r="O163" i="1"/>
  <c r="O262" i="1"/>
  <c r="O107" i="1"/>
  <c r="O110" i="1"/>
  <c r="L110" i="1"/>
  <c r="Y72" i="1"/>
  <c r="Z72" i="1"/>
  <c r="X83" i="1"/>
  <c r="Y83" i="1"/>
  <c r="Z83" i="1"/>
  <c r="X84" i="1"/>
  <c r="Z84" i="1"/>
  <c r="X85" i="1"/>
  <c r="Y85" i="1"/>
  <c r="Z85" i="1"/>
  <c r="X86" i="1"/>
  <c r="Y86" i="1"/>
  <c r="X87" i="1"/>
  <c r="Y87" i="1"/>
  <c r="Z87" i="1"/>
  <c r="X88" i="1"/>
  <c r="Y88" i="1"/>
  <c r="Z88" i="1"/>
  <c r="Y63" i="1"/>
  <c r="Y64" i="1"/>
  <c r="Y54" i="1"/>
  <c r="Z54" i="1"/>
  <c r="Y55" i="1"/>
  <c r="Z55" i="1"/>
  <c r="Y56" i="1"/>
  <c r="Z56" i="1"/>
  <c r="Y58" i="1"/>
  <c r="Z58" i="1"/>
  <c r="X59" i="1"/>
  <c r="Y59" i="1"/>
  <c r="Y60" i="1"/>
  <c r="Z60" i="1"/>
  <c r="X46" i="1"/>
  <c r="Y46" i="1"/>
  <c r="X47" i="1"/>
  <c r="Y47" i="1"/>
  <c r="Y38" i="1"/>
  <c r="X39" i="1"/>
  <c r="Z39" i="1"/>
  <c r="Y42" i="1"/>
  <c r="Z42" i="1"/>
  <c r="Z19" i="1"/>
  <c r="Z20" i="1"/>
  <c r="Z21" i="1"/>
  <c r="Z23" i="1"/>
  <c r="Z24" i="1"/>
  <c r="Z29" i="1"/>
  <c r="Z34" i="1"/>
  <c r="Z35" i="1"/>
  <c r="Y33" i="1"/>
  <c r="Y34" i="1"/>
  <c r="Y35" i="1"/>
  <c r="X29" i="1"/>
  <c r="Y19" i="1"/>
  <c r="Y23" i="1"/>
  <c r="Y24" i="1"/>
  <c r="X19" i="1"/>
  <c r="X20" i="1"/>
  <c r="X21" i="1"/>
  <c r="L317" i="1"/>
  <c r="L318" i="1"/>
  <c r="O317" i="1"/>
  <c r="O318" i="1"/>
  <c r="L309" i="1"/>
  <c r="L310" i="1"/>
  <c r="L311" i="1"/>
  <c r="L315" i="1"/>
  <c r="L316" i="1"/>
  <c r="L319" i="1"/>
  <c r="O309" i="1"/>
  <c r="O310" i="1"/>
  <c r="O311" i="1"/>
  <c r="O315" i="1"/>
  <c r="O316" i="1"/>
  <c r="O319" i="1"/>
  <c r="N251" i="1"/>
  <c r="M251" i="1"/>
  <c r="L82" i="1"/>
  <c r="L83" i="1"/>
  <c r="O82" i="1"/>
  <c r="O83" i="1"/>
  <c r="Q251" i="1"/>
  <c r="P251" i="1"/>
  <c r="L202" i="1"/>
  <c r="O202" i="1"/>
  <c r="L104" i="1"/>
  <c r="L109" i="1"/>
  <c r="L48" i="1"/>
  <c r="L111" i="1"/>
  <c r="L112" i="1"/>
  <c r="L113" i="1"/>
  <c r="L103" i="1"/>
  <c r="O104" i="1"/>
  <c r="O109" i="1"/>
  <c r="O48" i="1"/>
  <c r="O111" i="1"/>
  <c r="O112" i="1"/>
  <c r="O113" i="1"/>
  <c r="O103" i="1"/>
  <c r="O91" i="1"/>
  <c r="O89" i="1" s="1"/>
  <c r="L164" i="1"/>
  <c r="O164" i="1"/>
  <c r="S102" i="1"/>
  <c r="S101" i="1" s="1"/>
  <c r="S90" i="1"/>
  <c r="S89" i="1" s="1"/>
  <c r="L304" i="1"/>
  <c r="O304" i="1"/>
  <c r="O203" i="1"/>
  <c r="L203" i="1"/>
  <c r="O301" i="1"/>
  <c r="N177" i="1"/>
  <c r="L222" i="1"/>
  <c r="O222" i="1"/>
  <c r="O189" i="1"/>
  <c r="O190" i="1"/>
  <c r="L189" i="1"/>
  <c r="L190" i="1"/>
  <c r="M177" i="1"/>
  <c r="P177" i="1"/>
  <c r="Q177" i="1"/>
  <c r="L176" i="1"/>
  <c r="O176" i="1"/>
  <c r="Q36" i="1"/>
  <c r="P36" i="1"/>
  <c r="N36" i="1"/>
  <c r="M36" i="1"/>
  <c r="L239" i="1"/>
  <c r="O239" i="1"/>
  <c r="O249" i="1"/>
  <c r="L249" i="1"/>
  <c r="O17" i="1"/>
  <c r="M43" i="1"/>
  <c r="N43" i="1"/>
  <c r="P43" i="1"/>
  <c r="Q43" i="1"/>
  <c r="D83" i="3"/>
  <c r="H83" i="3"/>
  <c r="F83" i="3"/>
  <c r="H76" i="3"/>
  <c r="D80" i="3"/>
  <c r="D79" i="3"/>
  <c r="F79" i="3"/>
  <c r="D78" i="3"/>
  <c r="F78" i="3"/>
  <c r="G77" i="3"/>
  <c r="F72" i="3"/>
  <c r="F73" i="3"/>
  <c r="H72" i="3"/>
  <c r="D72" i="3"/>
  <c r="E71" i="3"/>
  <c r="C71" i="3"/>
  <c r="E69" i="3"/>
  <c r="E68" i="3"/>
  <c r="F63" i="3"/>
  <c r="H63" i="3"/>
  <c r="D63" i="3"/>
  <c r="H62" i="3"/>
  <c r="D62" i="3"/>
  <c r="E61" i="3"/>
  <c r="G61" i="3"/>
  <c r="C61" i="3"/>
  <c r="E60" i="3"/>
  <c r="G60" i="3"/>
  <c r="C60" i="3"/>
  <c r="E59" i="3"/>
  <c r="G59" i="3"/>
  <c r="E58" i="3"/>
  <c r="F56" i="3"/>
  <c r="F55" i="3"/>
  <c r="H55" i="3"/>
  <c r="D55" i="3"/>
  <c r="F54" i="3"/>
  <c r="D53" i="3"/>
  <c r="E52" i="3"/>
  <c r="G52" i="3"/>
  <c r="C52" i="3"/>
  <c r="E51" i="3"/>
  <c r="E50" i="3"/>
  <c r="G50" i="3"/>
  <c r="E49" i="3"/>
  <c r="E47" i="3"/>
  <c r="E46" i="3"/>
  <c r="E43" i="3"/>
  <c r="F38" i="3"/>
  <c r="G45" i="3"/>
  <c r="F37" i="3"/>
  <c r="H37" i="3"/>
  <c r="F35" i="3"/>
  <c r="F36" i="3"/>
  <c r="D36" i="3"/>
  <c r="F33" i="3"/>
  <c r="H33" i="3"/>
  <c r="D33" i="3"/>
  <c r="F32" i="3"/>
  <c r="H32" i="3"/>
  <c r="H31" i="3"/>
  <c r="D32" i="3"/>
  <c r="F31" i="3"/>
  <c r="D31" i="3"/>
  <c r="E30" i="3"/>
  <c r="E29" i="3"/>
  <c r="E28" i="3"/>
  <c r="E27" i="3"/>
  <c r="G27" i="3"/>
  <c r="E26" i="3"/>
  <c r="E25" i="3"/>
  <c r="E24" i="3"/>
  <c r="G24" i="3"/>
  <c r="C24" i="3"/>
  <c r="E23" i="3"/>
  <c r="E22" i="3"/>
  <c r="C22" i="3"/>
  <c r="E21" i="3"/>
  <c r="E20" i="3"/>
  <c r="E18" i="3"/>
  <c r="F16" i="3"/>
  <c r="D16" i="3"/>
  <c r="E15" i="3"/>
  <c r="G15" i="3"/>
  <c r="C15" i="3"/>
  <c r="E13" i="3"/>
  <c r="E12" i="3"/>
  <c r="F10" i="3"/>
  <c r="H10" i="3"/>
  <c r="D10" i="3"/>
  <c r="F9" i="3"/>
  <c r="E8" i="3"/>
  <c r="E7" i="3"/>
  <c r="Q344" i="1"/>
  <c r="P344" i="1"/>
  <c r="N344" i="1"/>
  <c r="M344" i="1"/>
  <c r="O161" i="1"/>
  <c r="L161" i="1"/>
  <c r="O247" i="1"/>
  <c r="L247" i="1"/>
  <c r="O228" i="1"/>
  <c r="O229" i="1"/>
  <c r="L228" i="1"/>
  <c r="L229" i="1"/>
  <c r="O180" i="1"/>
  <c r="L46" i="1"/>
  <c r="O46" i="1"/>
  <c r="L302" i="1"/>
  <c r="O302" i="1"/>
  <c r="S351" i="1"/>
  <c r="L346" i="1"/>
  <c r="O346" i="1"/>
  <c r="L347" i="1"/>
  <c r="O347" i="1"/>
  <c r="L350" i="1"/>
  <c r="O350" i="1"/>
  <c r="L338" i="1"/>
  <c r="O338" i="1"/>
  <c r="O343" i="1"/>
  <c r="L301" i="1"/>
  <c r="L303" i="1"/>
  <c r="O303" i="1"/>
  <c r="L305" i="1"/>
  <c r="O305" i="1"/>
  <c r="O337" i="1"/>
  <c r="L337" i="1"/>
  <c r="O336" i="1"/>
  <c r="L336" i="1"/>
  <c r="O335" i="1"/>
  <c r="L335" i="1"/>
  <c r="O334" i="1"/>
  <c r="L334" i="1"/>
  <c r="Q332" i="1"/>
  <c r="P332" i="1"/>
  <c r="N332" i="1"/>
  <c r="M332" i="1"/>
  <c r="O308" i="1"/>
  <c r="L308" i="1"/>
  <c r="S307" i="1"/>
  <c r="S306" i="1" s="1"/>
  <c r="Q306" i="1"/>
  <c r="P306" i="1"/>
  <c r="N306" i="1"/>
  <c r="M306" i="1"/>
  <c r="O295" i="1"/>
  <c r="L295" i="1"/>
  <c r="S294" i="1"/>
  <c r="S293" i="1" s="1"/>
  <c r="Q293" i="1"/>
  <c r="P293" i="1"/>
  <c r="N293" i="1"/>
  <c r="M293" i="1"/>
  <c r="O253" i="1"/>
  <c r="L253" i="1"/>
  <c r="S252" i="1"/>
  <c r="S251" i="1" s="1"/>
  <c r="O250" i="1"/>
  <c r="L250" i="1"/>
  <c r="O248" i="1"/>
  <c r="L248" i="1"/>
  <c r="O246" i="1"/>
  <c r="L246" i="1"/>
  <c r="O245" i="1"/>
  <c r="L245" i="1"/>
  <c r="O244" i="1"/>
  <c r="L244" i="1"/>
  <c r="S243" i="1"/>
  <c r="S242" i="1" s="1"/>
  <c r="Q242" i="1"/>
  <c r="P242" i="1"/>
  <c r="N242" i="1"/>
  <c r="M242" i="1"/>
  <c r="O241" i="1"/>
  <c r="L241" i="1"/>
  <c r="O240" i="1"/>
  <c r="L240" i="1"/>
  <c r="O238" i="1"/>
  <c r="L238" i="1"/>
  <c r="O237" i="1"/>
  <c r="L237" i="1"/>
  <c r="O236" i="1"/>
  <c r="L236" i="1"/>
  <c r="O235" i="1"/>
  <c r="L235" i="1"/>
  <c r="O234" i="1"/>
  <c r="L234" i="1"/>
  <c r="S233" i="1"/>
  <c r="S232" i="1" s="1"/>
  <c r="Q232" i="1"/>
  <c r="P232" i="1"/>
  <c r="N232" i="1"/>
  <c r="M232" i="1"/>
  <c r="O231" i="1"/>
  <c r="L231" i="1"/>
  <c r="O230" i="1"/>
  <c r="L230" i="1"/>
  <c r="O227" i="1"/>
  <c r="L227" i="1"/>
  <c r="O226" i="1"/>
  <c r="L226" i="1"/>
  <c r="O225" i="1"/>
  <c r="L225" i="1"/>
  <c r="S224" i="1"/>
  <c r="S223" i="1" s="1"/>
  <c r="Q223" i="1"/>
  <c r="P223" i="1"/>
  <c r="N223" i="1"/>
  <c r="M223" i="1"/>
  <c r="O216" i="1"/>
  <c r="L216" i="1"/>
  <c r="S215" i="1"/>
  <c r="S214" i="1" s="1"/>
  <c r="Q214" i="1"/>
  <c r="P214" i="1"/>
  <c r="N214" i="1"/>
  <c r="M214" i="1"/>
  <c r="O213" i="1"/>
  <c r="L213" i="1"/>
  <c r="O212" i="1"/>
  <c r="L212" i="1"/>
  <c r="O206" i="1"/>
  <c r="L206" i="1"/>
  <c r="S205" i="1"/>
  <c r="S204" i="1" s="1"/>
  <c r="Q204" i="1"/>
  <c r="P204" i="1"/>
  <c r="N204" i="1"/>
  <c r="M204" i="1"/>
  <c r="L165" i="1"/>
  <c r="O165" i="1"/>
  <c r="O201" i="1"/>
  <c r="L201" i="1"/>
  <c r="O200" i="1"/>
  <c r="L200" i="1"/>
  <c r="O199" i="1"/>
  <c r="L199" i="1"/>
  <c r="O193" i="1"/>
  <c r="L193" i="1"/>
  <c r="S192" i="1"/>
  <c r="S191" i="1" s="1"/>
  <c r="Q191" i="1"/>
  <c r="P191" i="1"/>
  <c r="N191" i="1"/>
  <c r="M191" i="1"/>
  <c r="O179" i="1"/>
  <c r="L179" i="1"/>
  <c r="S178" i="1"/>
  <c r="S177" i="1" s="1"/>
  <c r="O168" i="1"/>
  <c r="L168" i="1"/>
  <c r="S167" i="1"/>
  <c r="S166" i="1" s="1"/>
  <c r="Q166" i="1"/>
  <c r="P166" i="1"/>
  <c r="N166" i="1"/>
  <c r="M166" i="1"/>
  <c r="O160" i="1"/>
  <c r="L160" i="1"/>
  <c r="O159" i="1"/>
  <c r="L159" i="1"/>
  <c r="O158" i="1"/>
  <c r="L158" i="1"/>
  <c r="O157" i="1"/>
  <c r="L157" i="1"/>
  <c r="O156" i="1"/>
  <c r="L156" i="1"/>
  <c r="O155" i="1"/>
  <c r="L155" i="1"/>
  <c r="O154" i="1"/>
  <c r="L154" i="1"/>
  <c r="O153" i="1"/>
  <c r="L153" i="1"/>
  <c r="S152" i="1"/>
  <c r="S151" i="1" s="1"/>
  <c r="Q151" i="1"/>
  <c r="P151" i="1"/>
  <c r="N151" i="1"/>
  <c r="M151" i="1"/>
  <c r="O88" i="1"/>
  <c r="L88" i="1"/>
  <c r="O63" i="1"/>
  <c r="L63" i="1"/>
  <c r="S62" i="1"/>
  <c r="S61" i="1" s="1"/>
  <c r="S275" i="1"/>
  <c r="S274" i="1" s="1"/>
  <c r="S261" i="1"/>
  <c r="S260" i="1" s="1"/>
  <c r="G71" i="3"/>
  <c r="G68" i="3"/>
  <c r="C68" i="3"/>
  <c r="C59" i="3"/>
  <c r="G58" i="3"/>
  <c r="C58" i="3"/>
  <c r="H56" i="3"/>
  <c r="H54" i="3"/>
  <c r="D54" i="3"/>
  <c r="G51" i="3"/>
  <c r="G49" i="3"/>
  <c r="C49" i="3"/>
  <c r="G47" i="3"/>
  <c r="C47" i="3"/>
  <c r="G46" i="3"/>
  <c r="C46" i="3"/>
  <c r="C45" i="3"/>
  <c r="G43" i="3"/>
  <c r="C43" i="3"/>
  <c r="D37" i="3"/>
  <c r="H36" i="3"/>
  <c r="H35" i="3"/>
  <c r="D35" i="3"/>
  <c r="G28" i="3"/>
  <c r="C28" i="3"/>
  <c r="C27" i="3"/>
  <c r="G26" i="3"/>
  <c r="C26" i="3"/>
  <c r="G25" i="3"/>
  <c r="C25" i="3"/>
  <c r="C23" i="3"/>
  <c r="G21" i="3"/>
  <c r="C21" i="3"/>
  <c r="G20" i="3"/>
  <c r="C20" i="3"/>
  <c r="G19" i="3"/>
  <c r="C19" i="3"/>
  <c r="G18" i="3"/>
  <c r="C18" i="3"/>
  <c r="G14" i="3"/>
  <c r="C14" i="3"/>
  <c r="G13" i="3"/>
  <c r="C13" i="3"/>
  <c r="G12" i="3"/>
  <c r="C12" i="3"/>
  <c r="H9" i="3"/>
  <c r="D9" i="3"/>
  <c r="G8" i="3"/>
  <c r="C8" i="3"/>
  <c r="G7" i="3"/>
  <c r="C7" i="3"/>
  <c r="G5" i="3"/>
  <c r="C5" i="3"/>
  <c r="O144" i="1"/>
  <c r="L144" i="1"/>
  <c r="S143" i="1"/>
  <c r="S142" i="1" s="1"/>
  <c r="Q142" i="1"/>
  <c r="P142" i="1"/>
  <c r="N142" i="1"/>
  <c r="M142" i="1"/>
  <c r="O134" i="1"/>
  <c r="L134" i="1"/>
  <c r="S133" i="1"/>
  <c r="S132" i="1" s="1"/>
  <c r="Q132" i="1"/>
  <c r="P132" i="1"/>
  <c r="N132" i="1"/>
  <c r="M132" i="1"/>
  <c r="O125" i="1"/>
  <c r="L125" i="1"/>
  <c r="L123" i="1" s="1"/>
  <c r="S124" i="1"/>
  <c r="S123" i="1" s="1"/>
  <c r="Q123" i="1"/>
  <c r="P123" i="1"/>
  <c r="N123" i="1"/>
  <c r="M123" i="1"/>
  <c r="O116" i="1"/>
  <c r="L116" i="1"/>
  <c r="L114" i="1" s="1"/>
  <c r="S115" i="1"/>
  <c r="S114" i="1" s="1"/>
  <c r="Q114" i="1"/>
  <c r="P114" i="1"/>
  <c r="N114" i="1"/>
  <c r="M114" i="1"/>
  <c r="O87" i="1"/>
  <c r="L87" i="1"/>
  <c r="O86" i="1"/>
  <c r="L86" i="1"/>
  <c r="O85" i="1"/>
  <c r="L85" i="1"/>
  <c r="O84" i="1"/>
  <c r="L84" i="1"/>
  <c r="O75" i="1"/>
  <c r="L75" i="1"/>
  <c r="O73" i="1"/>
  <c r="L73" i="1"/>
  <c r="O72" i="1"/>
  <c r="L72" i="1"/>
  <c r="S71" i="1"/>
  <c r="S70" i="1" s="1"/>
  <c r="Q70" i="1"/>
  <c r="P70" i="1"/>
  <c r="N70" i="1"/>
  <c r="M70" i="1"/>
  <c r="O52" i="1"/>
  <c r="L52" i="1"/>
  <c r="S51" i="1"/>
  <c r="S50" i="1" s="1"/>
  <c r="Q50" i="1"/>
  <c r="P50" i="1"/>
  <c r="N50" i="1"/>
  <c r="M50" i="1"/>
  <c r="O38" i="1"/>
  <c r="L38" i="1"/>
  <c r="S37" i="1"/>
  <c r="S36" i="1" s="1"/>
  <c r="O49" i="1"/>
  <c r="L49" i="1"/>
  <c r="O47" i="1"/>
  <c r="L47" i="1"/>
  <c r="O45" i="1"/>
  <c r="L45" i="1"/>
  <c r="S44" i="1"/>
  <c r="S43" i="1" s="1"/>
  <c r="O35" i="1"/>
  <c r="L35" i="1"/>
  <c r="O34" i="1"/>
  <c r="L34" i="1"/>
  <c r="O33" i="1"/>
  <c r="L33" i="1"/>
  <c r="O32" i="1"/>
  <c r="L32" i="1"/>
  <c r="S31" i="1"/>
  <c r="S30" i="1" s="1"/>
  <c r="Q30" i="1"/>
  <c r="P30" i="1"/>
  <c r="N30" i="1"/>
  <c r="M30" i="1"/>
  <c r="O29" i="1"/>
  <c r="L29" i="1"/>
  <c r="O28" i="1"/>
  <c r="L28" i="1"/>
  <c r="O27" i="1"/>
  <c r="L27" i="1"/>
  <c r="S26" i="1"/>
  <c r="S25" i="1" s="1"/>
  <c r="Q25" i="1"/>
  <c r="P25" i="1"/>
  <c r="N25" i="1"/>
  <c r="M25" i="1"/>
  <c r="S15" i="1"/>
  <c r="L17" i="1"/>
  <c r="J88" i="3" l="1"/>
  <c r="L274" i="1"/>
  <c r="O274" i="1"/>
  <c r="L214" i="1"/>
  <c r="L166" i="1"/>
  <c r="O101" i="1"/>
  <c r="L101" i="1"/>
  <c r="M63" i="3"/>
  <c r="L39" i="3"/>
  <c r="N84" i="3"/>
  <c r="K63" i="3"/>
  <c r="L79" i="3"/>
  <c r="K79" i="3"/>
  <c r="O39" i="3"/>
  <c r="L61" i="1"/>
  <c r="O61" i="1"/>
  <c r="K186" i="1"/>
  <c r="X186" i="1" s="1"/>
  <c r="L351" i="1"/>
  <c r="O351" i="1"/>
  <c r="K340" i="1"/>
  <c r="K348" i="1"/>
  <c r="K349" i="1"/>
  <c r="K354" i="1"/>
  <c r="K353" i="1"/>
  <c r="K342" i="1"/>
  <c r="K341" i="1"/>
  <c r="K339" i="1"/>
  <c r="K337" i="1"/>
  <c r="K220" i="1"/>
  <c r="Z220" i="1" s="1"/>
  <c r="Z256" i="1"/>
  <c r="AB123" i="1"/>
  <c r="AE123" i="1" s="1"/>
  <c r="AC151" i="1"/>
  <c r="AF151" i="1" s="1"/>
  <c r="K288" i="1"/>
  <c r="Z288" i="1" s="1"/>
  <c r="AA214" i="1"/>
  <c r="AD214" i="1" s="1"/>
  <c r="AC166" i="1"/>
  <c r="AF166" i="1" s="1"/>
  <c r="O260" i="1"/>
  <c r="K17" i="1"/>
  <c r="K15" i="1" s="1"/>
  <c r="K16" i="1" s="1"/>
  <c r="R16" i="1" s="1"/>
  <c r="K241" i="1"/>
  <c r="Y241" i="1" s="1"/>
  <c r="K203" i="1"/>
  <c r="Y203" i="1" s="1"/>
  <c r="K268" i="1"/>
  <c r="AA318" i="1" s="1"/>
  <c r="K234" i="1"/>
  <c r="Y234" i="1" s="1"/>
  <c r="K33" i="1"/>
  <c r="X33" i="1" s="1"/>
  <c r="K107" i="1"/>
  <c r="X272" i="1" s="1"/>
  <c r="K253" i="1"/>
  <c r="K208" i="1"/>
  <c r="K65" i="1"/>
  <c r="X65" i="1" s="1"/>
  <c r="K211" i="1"/>
  <c r="K202" i="1"/>
  <c r="Y202" i="1" s="1"/>
  <c r="K343" i="1"/>
  <c r="Y263" i="1"/>
  <c r="K311" i="1"/>
  <c r="AB312" i="1"/>
  <c r="AA293" i="1"/>
  <c r="K103" i="1"/>
  <c r="K188" i="1"/>
  <c r="K136" i="1"/>
  <c r="X136" i="1" s="1"/>
  <c r="K209" i="1"/>
  <c r="Z209" i="1" s="1"/>
  <c r="K350" i="1"/>
  <c r="K266" i="1"/>
  <c r="K135" i="1"/>
  <c r="X135" i="1" s="1"/>
  <c r="K213" i="1"/>
  <c r="Y213" i="1" s="1"/>
  <c r="K225" i="1"/>
  <c r="Y225" i="1" s="1"/>
  <c r="K231" i="1"/>
  <c r="Z231" i="1" s="1"/>
  <c r="K161" i="1"/>
  <c r="K121" i="1"/>
  <c r="Y121" i="1" s="1"/>
  <c r="K148" i="1"/>
  <c r="Z148" i="1" s="1"/>
  <c r="K249" i="1"/>
  <c r="Y249" i="1" s="1"/>
  <c r="K164" i="1"/>
  <c r="K145" i="1"/>
  <c r="X145" i="1" s="1"/>
  <c r="K150" i="1"/>
  <c r="X150" i="1" s="1"/>
  <c r="K217" i="1"/>
  <c r="Z217" i="1" s="1"/>
  <c r="K169" i="1"/>
  <c r="Y169" i="1" s="1"/>
  <c r="K55" i="1"/>
  <c r="X55" i="1" s="1"/>
  <c r="K154" i="1"/>
  <c r="Y154" i="1" s="1"/>
  <c r="K181" i="1"/>
  <c r="X181" i="1" s="1"/>
  <c r="K300" i="1"/>
  <c r="K87" i="1"/>
  <c r="K127" i="1"/>
  <c r="X127" i="1" s="1"/>
  <c r="K165" i="1"/>
  <c r="X165" i="1" s="1"/>
  <c r="K172" i="1"/>
  <c r="X172" i="1" s="1"/>
  <c r="K312" i="1"/>
  <c r="K68" i="1"/>
  <c r="K34" i="1"/>
  <c r="X34" i="1" s="1"/>
  <c r="K84" i="1"/>
  <c r="Y84" i="1" s="1"/>
  <c r="K128" i="1"/>
  <c r="X128" i="1" s="1"/>
  <c r="K179" i="1"/>
  <c r="K193" i="1"/>
  <c r="Z193" i="1" s="1"/>
  <c r="K357" i="1"/>
  <c r="K228" i="1"/>
  <c r="Y228" i="1" s="1"/>
  <c r="K76" i="1"/>
  <c r="X76" i="1" s="1"/>
  <c r="K239" i="1"/>
  <c r="Y239" i="1" s="1"/>
  <c r="Z259" i="1"/>
  <c r="AB311" i="1"/>
  <c r="AC260" i="1"/>
  <c r="AF260" i="1" s="1"/>
  <c r="K190" i="1"/>
  <c r="X190" i="1" s="1"/>
  <c r="K137" i="1"/>
  <c r="Z137" i="1" s="1"/>
  <c r="AB63" i="1"/>
  <c r="AE63" i="1" s="1"/>
  <c r="K35" i="1"/>
  <c r="X35" i="1" s="1"/>
  <c r="K40" i="1"/>
  <c r="X40" i="1" s="1"/>
  <c r="K182" i="1"/>
  <c r="Y182" i="1" s="1"/>
  <c r="K80" i="1"/>
  <c r="X80" i="1" s="1"/>
  <c r="K292" i="1"/>
  <c r="X292" i="1" s="1"/>
  <c r="K285" i="1"/>
  <c r="Z285" i="1" s="1"/>
  <c r="K287" i="1"/>
  <c r="Z287" i="1" s="1"/>
  <c r="K129" i="1"/>
  <c r="K66" i="1"/>
  <c r="AB310" i="1"/>
  <c r="K262" i="1"/>
  <c r="K185" i="1"/>
  <c r="Z185" i="1" s="1"/>
  <c r="O25" i="1"/>
  <c r="K86" i="1"/>
  <c r="Z86" i="1" s="1"/>
  <c r="K144" i="1"/>
  <c r="X144" i="1" s="1"/>
  <c r="K216" i="1"/>
  <c r="K230" i="1"/>
  <c r="X230" i="1" s="1"/>
  <c r="K335" i="1"/>
  <c r="K314" i="1"/>
  <c r="K82" i="1"/>
  <c r="K267" i="1"/>
  <c r="K126" i="1"/>
  <c r="X126" i="1" s="1"/>
  <c r="K130" i="1"/>
  <c r="Z130" i="1" s="1"/>
  <c r="AC123" i="1" s="1"/>
  <c r="AF123" i="1" s="1"/>
  <c r="K119" i="1"/>
  <c r="Z119" i="1" s="1"/>
  <c r="K318" i="1"/>
  <c r="Z318" i="1" s="1"/>
  <c r="AC318" i="1" s="1"/>
  <c r="K291" i="1"/>
  <c r="X291" i="1" s="1"/>
  <c r="AA315" i="1"/>
  <c r="AA312" i="1"/>
  <c r="Y269" i="1"/>
  <c r="L132" i="1"/>
  <c r="L260" i="1"/>
  <c r="AA316" i="1"/>
  <c r="K117" i="1"/>
  <c r="K201" i="1"/>
  <c r="Z201" i="1" s="1"/>
  <c r="L204" i="1"/>
  <c r="K289" i="1"/>
  <c r="X289" i="1" s="1"/>
  <c r="AA311" i="1"/>
  <c r="K49" i="1"/>
  <c r="K118" i="1"/>
  <c r="Z118" i="1" s="1"/>
  <c r="K146" i="1"/>
  <c r="X146" i="1" s="1"/>
  <c r="K63" i="1"/>
  <c r="K273" i="1"/>
  <c r="L151" i="1"/>
  <c r="K196" i="1"/>
  <c r="Z196" i="1" s="1"/>
  <c r="K245" i="1"/>
  <c r="K305" i="1"/>
  <c r="X305" i="1" s="1"/>
  <c r="K256" i="1"/>
  <c r="AB293" i="1"/>
  <c r="AA260" i="1"/>
  <c r="AD260" i="1" s="1"/>
  <c r="K308" i="1"/>
  <c r="K303" i="1"/>
  <c r="Z303" i="1" s="1"/>
  <c r="K199" i="1"/>
  <c r="X199" i="1" s="1"/>
  <c r="K183" i="1"/>
  <c r="X183" i="1" s="1"/>
  <c r="K278" i="1"/>
  <c r="X278" i="1" s="1"/>
  <c r="K286" i="1"/>
  <c r="AB274" i="1"/>
  <c r="O142" i="1"/>
  <c r="K210" i="1"/>
  <c r="X210" i="1" s="1"/>
  <c r="K226" i="1"/>
  <c r="Y226" i="1" s="1"/>
  <c r="K240" i="1"/>
  <c r="Y240" i="1" s="1"/>
  <c r="K47" i="1"/>
  <c r="Z47" i="1" s="1"/>
  <c r="K141" i="1"/>
  <c r="Y141" i="1" s="1"/>
  <c r="K149" i="1"/>
  <c r="Z149" i="1" s="1"/>
  <c r="K272" i="1"/>
  <c r="K155" i="1"/>
  <c r="X155" i="1" s="1"/>
  <c r="K212" i="1"/>
  <c r="L223" i="1"/>
  <c r="K236" i="1"/>
  <c r="Y236" i="1" s="1"/>
  <c r="K250" i="1"/>
  <c r="Y250" i="1" s="1"/>
  <c r="K171" i="1"/>
  <c r="X171" i="1" s="1"/>
  <c r="K221" i="1"/>
  <c r="Y221" i="1" s="1"/>
  <c r="K222" i="1"/>
  <c r="K69" i="1"/>
  <c r="K162" i="1"/>
  <c r="Y326" i="1" s="1"/>
  <c r="AB320" i="1" s="1"/>
  <c r="AE320" i="1" s="1"/>
  <c r="K317" i="1"/>
  <c r="Z317" i="1" s="1"/>
  <c r="AC319" i="1"/>
  <c r="AA317" i="1"/>
  <c r="AB309" i="1"/>
  <c r="K106" i="1"/>
  <c r="X106" i="1" s="1"/>
  <c r="K113" i="1"/>
  <c r="K108" i="1"/>
  <c r="Y21" i="1"/>
  <c r="K48" i="1"/>
  <c r="K104" i="1"/>
  <c r="Y104" i="1" s="1"/>
  <c r="K58" i="1"/>
  <c r="X58" i="1" s="1"/>
  <c r="K120" i="1"/>
  <c r="Y120" i="1" s="1"/>
  <c r="K197" i="1"/>
  <c r="K54" i="1"/>
  <c r="X54" i="1" s="1"/>
  <c r="K59" i="1"/>
  <c r="Z59" i="1" s="1"/>
  <c r="K57" i="1"/>
  <c r="Z57" i="1" s="1"/>
  <c r="X23" i="1"/>
  <c r="K138" i="1"/>
  <c r="Y138" i="1" s="1"/>
  <c r="K56" i="1"/>
  <c r="X56" i="1" s="1"/>
  <c r="K85" i="1"/>
  <c r="K88" i="1"/>
  <c r="Y20" i="1"/>
  <c r="Z18" i="1"/>
  <c r="K238" i="1"/>
  <c r="Y238" i="1" s="1"/>
  <c r="O344" i="1"/>
  <c r="O214" i="1"/>
  <c r="K105" i="1"/>
  <c r="K316" i="1"/>
  <c r="Z316" i="1" s="1"/>
  <c r="K283" i="1"/>
  <c r="K206" i="1"/>
  <c r="K29" i="1"/>
  <c r="Y29" i="1" s="1"/>
  <c r="K45" i="1"/>
  <c r="K156" i="1"/>
  <c r="X156" i="1" s="1"/>
  <c r="K160" i="1"/>
  <c r="X160" i="1" s="1"/>
  <c r="K195" i="1"/>
  <c r="Z195" i="1" s="1"/>
  <c r="K227" i="1"/>
  <c r="K235" i="1"/>
  <c r="K347" i="1"/>
  <c r="K358" i="1"/>
  <c r="K247" i="1"/>
  <c r="Y247" i="1" s="1"/>
  <c r="K42" i="1"/>
  <c r="X42" i="1" s="1"/>
  <c r="K170" i="1"/>
  <c r="Y170" i="1" s="1"/>
  <c r="K264" i="1"/>
  <c r="K83" i="1"/>
  <c r="K81" i="1"/>
  <c r="Y81" i="1" s="1"/>
  <c r="Y258" i="1"/>
  <c r="K41" i="1"/>
  <c r="K67" i="1"/>
  <c r="K271" i="1"/>
  <c r="K110" i="1"/>
  <c r="X110" i="1" s="1"/>
  <c r="K157" i="1"/>
  <c r="K304" i="1"/>
  <c r="X304" i="1" s="1"/>
  <c r="Z92" i="1"/>
  <c r="K112" i="1"/>
  <c r="Z112" i="1" s="1"/>
  <c r="K122" i="1"/>
  <c r="Z122" i="1" s="1"/>
  <c r="L142" i="1"/>
  <c r="K301" i="1"/>
  <c r="Y301" i="1" s="1"/>
  <c r="K187" i="1"/>
  <c r="Y187" i="1" s="1"/>
  <c r="K270" i="1"/>
  <c r="K60" i="1"/>
  <c r="X60" i="1" s="1"/>
  <c r="K158" i="1"/>
  <c r="K336" i="1"/>
  <c r="K356" i="1"/>
  <c r="K176" i="1"/>
  <c r="X176" i="1" s="1"/>
  <c r="K198" i="1"/>
  <c r="K219" i="1"/>
  <c r="Y219" i="1" s="1"/>
  <c r="O151" i="1"/>
  <c r="K131" i="1"/>
  <c r="X131" i="1" s="1"/>
  <c r="K140" i="1"/>
  <c r="X140" i="1" s="1"/>
  <c r="K244" i="1"/>
  <c r="Y244" i="1" s="1"/>
  <c r="K39" i="1"/>
  <c r="Y39" i="1" s="1"/>
  <c r="K111" i="1"/>
  <c r="X111" i="1" s="1"/>
  <c r="K310" i="1"/>
  <c r="X310" i="1" s="1"/>
  <c r="AA308" i="1" s="1"/>
  <c r="L43" i="1"/>
  <c r="K28" i="1"/>
  <c r="Z28" i="1" s="1"/>
  <c r="O70" i="1"/>
  <c r="K159" i="1"/>
  <c r="X159" i="1" s="1"/>
  <c r="L232" i="1"/>
  <c r="O36" i="1"/>
  <c r="K109" i="1"/>
  <c r="Z108" i="1" s="1"/>
  <c r="K277" i="1"/>
  <c r="K184" i="1"/>
  <c r="K269" i="1"/>
  <c r="K139" i="1"/>
  <c r="X93" i="1"/>
  <c r="K91" i="1"/>
  <c r="Z99" i="1"/>
  <c r="X24" i="1"/>
  <c r="K53" i="1"/>
  <c r="K73" i="1"/>
  <c r="X73" i="1" s="1"/>
  <c r="K147" i="1"/>
  <c r="Y147" i="1" s="1"/>
  <c r="O123" i="1"/>
  <c r="K125" i="1"/>
  <c r="N63" i="3"/>
  <c r="N79" i="3"/>
  <c r="K153" i="1"/>
  <c r="J72" i="3"/>
  <c r="J79" i="3"/>
  <c r="J84" i="3"/>
  <c r="K355" i="1"/>
  <c r="K302" i="1"/>
  <c r="Y302" i="1" s="1"/>
  <c r="O293" i="1"/>
  <c r="J63" i="3"/>
  <c r="J64" i="3" s="1"/>
  <c r="L50" i="1"/>
  <c r="K52" i="1"/>
  <c r="O43" i="1"/>
  <c r="K258" i="1"/>
  <c r="K72" i="3"/>
  <c r="K32" i="1"/>
  <c r="L30" i="1"/>
  <c r="L36" i="1"/>
  <c r="K38" i="1"/>
  <c r="O50" i="1"/>
  <c r="O232" i="1"/>
  <c r="O251" i="1"/>
  <c r="M84" i="3"/>
  <c r="K218" i="1"/>
  <c r="O223" i="1"/>
  <c r="K246" i="1"/>
  <c r="L242" i="1"/>
  <c r="K338" i="1"/>
  <c r="L332" i="1"/>
  <c r="K315" i="1"/>
  <c r="Z315" i="1" s="1"/>
  <c r="L306" i="1"/>
  <c r="K180" i="1"/>
  <c r="O177" i="1"/>
  <c r="O114" i="1"/>
  <c r="K116" i="1"/>
  <c r="K134" i="1"/>
  <c r="O132" i="1"/>
  <c r="K64" i="1"/>
  <c r="K72" i="1"/>
  <c r="L70" i="1"/>
  <c r="J39" i="3"/>
  <c r="K346" i="1"/>
  <c r="L344" i="1"/>
  <c r="O306" i="1"/>
  <c r="N88" i="3"/>
  <c r="O88" i="3" s="1"/>
  <c r="K200" i="1"/>
  <c r="X200" i="1" s="1"/>
  <c r="O191" i="1"/>
  <c r="M72" i="3"/>
  <c r="M39" i="3"/>
  <c r="L41" i="3" s="1"/>
  <c r="K175" i="1"/>
  <c r="Y175" i="1" s="1"/>
  <c r="Y257" i="1"/>
  <c r="L251" i="1"/>
  <c r="Y264" i="1"/>
  <c r="N72" i="3"/>
  <c r="O166" i="1"/>
  <c r="K334" i="1"/>
  <c r="O332" i="1"/>
  <c r="K207" i="1"/>
  <c r="L63" i="3"/>
  <c r="L64" i="3" s="1"/>
  <c r="L88" i="3"/>
  <c r="K290" i="1"/>
  <c r="O72" i="3"/>
  <c r="K75" i="1"/>
  <c r="N39" i="3"/>
  <c r="O204" i="1"/>
  <c r="K248" i="1"/>
  <c r="Y248" i="1" s="1"/>
  <c r="K46" i="1"/>
  <c r="K229" i="1"/>
  <c r="O15" i="1"/>
  <c r="L177" i="1"/>
  <c r="K163" i="1"/>
  <c r="K284" i="1"/>
  <c r="O30" i="1"/>
  <c r="K309" i="1"/>
  <c r="L84" i="3"/>
  <c r="L15" i="1"/>
  <c r="O79" i="3"/>
  <c r="O84" i="3"/>
  <c r="N85" i="3" s="1"/>
  <c r="O63" i="3"/>
  <c r="O242" i="1"/>
  <c r="L293" i="1"/>
  <c r="K295" i="1"/>
  <c r="Z295" i="1" s="1"/>
  <c r="K39" i="3"/>
  <c r="K84" i="3"/>
  <c r="K313" i="1"/>
  <c r="K319" i="1"/>
  <c r="Y319" i="1" s="1"/>
  <c r="AB319" i="1" s="1"/>
  <c r="K282" i="1"/>
  <c r="L25" i="1"/>
  <c r="K27" i="1"/>
  <c r="L72" i="3"/>
  <c r="K168" i="1"/>
  <c r="K194" i="1"/>
  <c r="L191" i="1"/>
  <c r="K237" i="1"/>
  <c r="Y237" i="1" s="1"/>
  <c r="M79" i="3"/>
  <c r="K189" i="1"/>
  <c r="Y189" i="1" s="1"/>
  <c r="K254" i="1"/>
  <c r="Y265" i="1" s="1"/>
  <c r="L81" i="3" l="1"/>
  <c r="Z41" i="1"/>
  <c r="X41" i="1"/>
  <c r="AB72" i="1"/>
  <c r="AE72" i="1" s="1"/>
  <c r="K70" i="1"/>
  <c r="Y271" i="1"/>
  <c r="Y300" i="1"/>
  <c r="Z277" i="1"/>
  <c r="K274" i="1"/>
  <c r="Y109" i="1"/>
  <c r="AB103" i="1" s="1"/>
  <c r="AE103" i="1" s="1"/>
  <c r="Y48" i="1"/>
  <c r="Y266" i="1"/>
  <c r="Y162" i="1"/>
  <c r="Z67" i="1"/>
  <c r="Y268" i="1"/>
  <c r="Y163" i="1"/>
  <c r="X164" i="1"/>
  <c r="K251" i="1"/>
  <c r="K252" i="1" s="1"/>
  <c r="R252" i="1" s="1"/>
  <c r="K89" i="1"/>
  <c r="X91" i="1"/>
  <c r="AA91" i="1" s="1"/>
  <c r="AD91" i="1" s="1"/>
  <c r="Y253" i="1"/>
  <c r="AB251" i="1" s="1"/>
  <c r="AE251" i="1" s="1"/>
  <c r="K306" i="1"/>
  <c r="R306" i="1" s="1"/>
  <c r="K293" i="1"/>
  <c r="Y308" i="1"/>
  <c r="Z216" i="1"/>
  <c r="AC214" i="1" s="1"/>
  <c r="AF214" i="1" s="1"/>
  <c r="K214" i="1"/>
  <c r="K215" i="1" s="1"/>
  <c r="R215" i="1" s="1"/>
  <c r="Z107" i="1"/>
  <c r="Z197" i="1"/>
  <c r="X184" i="1"/>
  <c r="K204" i="1"/>
  <c r="K205" i="1" s="1"/>
  <c r="R205" i="1" s="1"/>
  <c r="X179" i="1"/>
  <c r="K177" i="1"/>
  <c r="R177" i="1" s="1"/>
  <c r="K166" i="1"/>
  <c r="K167" i="1" s="1"/>
  <c r="R167" i="1" s="1"/>
  <c r="K151" i="1"/>
  <c r="R151" i="1" s="1"/>
  <c r="Y94" i="1"/>
  <c r="K142" i="1"/>
  <c r="K143" i="1" s="1"/>
  <c r="R143" i="1" s="1"/>
  <c r="K132" i="1"/>
  <c r="R132" i="1" s="1"/>
  <c r="K114" i="1"/>
  <c r="K115" i="1" s="1"/>
  <c r="R115" i="1" s="1"/>
  <c r="K101" i="1"/>
  <c r="X125" i="1"/>
  <c r="K123" i="1"/>
  <c r="K124" i="1" s="1"/>
  <c r="R124" i="1" s="1"/>
  <c r="Z103" i="1"/>
  <c r="K25" i="1"/>
  <c r="K50" i="1"/>
  <c r="K36" i="1"/>
  <c r="K30" i="1"/>
  <c r="K61" i="1"/>
  <c r="K43" i="1"/>
  <c r="X17" i="1"/>
  <c r="R15" i="1"/>
  <c r="X129" i="1"/>
  <c r="J81" i="3"/>
  <c r="N41" i="3"/>
  <c r="L85" i="3"/>
  <c r="O73" i="3"/>
  <c r="M88" i="3"/>
  <c r="X63" i="1"/>
  <c r="X66" i="1"/>
  <c r="AC251" i="1"/>
  <c r="AF251" i="1" s="1"/>
  <c r="K351" i="1"/>
  <c r="K352" i="1" s="1"/>
  <c r="R352" i="1" s="1"/>
  <c r="Z63" i="1"/>
  <c r="K344" i="1"/>
  <c r="R344" i="1" s="1"/>
  <c r="AB166" i="1"/>
  <c r="AE166" i="1" s="1"/>
  <c r="AA142" i="1"/>
  <c r="AD142" i="1" s="1"/>
  <c r="Z17" i="1"/>
  <c r="AC17" i="1" s="1"/>
  <c r="AF17" i="1" s="1"/>
  <c r="AB214" i="1"/>
  <c r="AE214" i="1" s="1"/>
  <c r="Y17" i="1"/>
  <c r="Z33" i="1"/>
  <c r="K191" i="1"/>
  <c r="K192" i="1" s="1"/>
  <c r="R192" i="1" s="1"/>
  <c r="AB316" i="1"/>
  <c r="Y262" i="1"/>
  <c r="AB260" i="1" s="1"/>
  <c r="AE260" i="1" s="1"/>
  <c r="K260" i="1"/>
  <c r="R260" i="1" s="1"/>
  <c r="X103" i="1"/>
  <c r="AA103" i="1" s="1"/>
  <c r="AD103" i="1" s="1"/>
  <c r="X253" i="1"/>
  <c r="AA251" i="1" s="1"/>
  <c r="AD251" i="1" s="1"/>
  <c r="Z40" i="1"/>
  <c r="Z135" i="1"/>
  <c r="Y135" i="1"/>
  <c r="AB132" i="1" s="1"/>
  <c r="AE132" i="1" s="1"/>
  <c r="Z145" i="1"/>
  <c r="Y145" i="1"/>
  <c r="AB142" i="1" s="1"/>
  <c r="AE142" i="1" s="1"/>
  <c r="Z144" i="1"/>
  <c r="X193" i="1"/>
  <c r="AC72" i="1"/>
  <c r="AF72" i="1" s="1"/>
  <c r="Y193" i="1"/>
  <c r="X169" i="1"/>
  <c r="Y45" i="1"/>
  <c r="X45" i="1"/>
  <c r="AA45" i="1" s="1"/>
  <c r="AD45" i="1" s="1"/>
  <c r="Y245" i="1"/>
  <c r="K242" i="1"/>
  <c r="K243" i="1" s="1"/>
  <c r="R243" i="1" s="1"/>
  <c r="X270" i="1"/>
  <c r="Y270" i="1"/>
  <c r="Y40" i="1"/>
  <c r="AB38" i="1" s="1"/>
  <c r="AE38" i="1" s="1"/>
  <c r="Z270" i="1"/>
  <c r="AC315" i="1"/>
  <c r="AC310" i="1"/>
  <c r="AC312" i="1"/>
  <c r="Z45" i="1"/>
  <c r="X134" i="1"/>
  <c r="AA132" i="1" s="1"/>
  <c r="AD132" i="1" s="1"/>
  <c r="Z134" i="1"/>
  <c r="AB317" i="1"/>
  <c r="X153" i="1"/>
  <c r="AA310" i="1"/>
  <c r="AA307" i="1"/>
  <c r="K223" i="1"/>
  <c r="R223" i="1" s="1"/>
  <c r="Y229" i="1"/>
  <c r="AB223" i="1" s="1"/>
  <c r="AE223" i="1" s="1"/>
  <c r="K232" i="1"/>
  <c r="R232" i="1" s="1"/>
  <c r="Z235" i="1"/>
  <c r="AC232" i="1" s="1"/>
  <c r="AF232" i="1" s="1"/>
  <c r="X235" i="1"/>
  <c r="AA232" i="1" s="1"/>
  <c r="AD232" i="1" s="1"/>
  <c r="Y235" i="1"/>
  <c r="X227" i="1"/>
  <c r="Z227" i="1"/>
  <c r="AC316" i="1"/>
  <c r="AA309" i="1"/>
  <c r="Y116" i="1"/>
  <c r="Z116" i="1"/>
  <c r="X206" i="1"/>
  <c r="Z206" i="1"/>
  <c r="AC204" i="1" s="1"/>
  <c r="AF204" i="1" s="1"/>
  <c r="Y206" i="1"/>
  <c r="AB318" i="1"/>
  <c r="Y18" i="1"/>
  <c r="AA306" i="1"/>
  <c r="AB315" i="1"/>
  <c r="AC311" i="1"/>
  <c r="Z309" i="1"/>
  <c r="X117" i="1"/>
  <c r="AA114" i="1" s="1"/>
  <c r="AD114" i="1" s="1"/>
  <c r="Y117" i="1"/>
  <c r="Z117" i="1"/>
  <c r="X180" i="1"/>
  <c r="Z180" i="1"/>
  <c r="AC177" i="1" s="1"/>
  <c r="AF177" i="1" s="1"/>
  <c r="Y180" i="1"/>
  <c r="AB177" i="1" s="1"/>
  <c r="AE177" i="1" s="1"/>
  <c r="Z246" i="1"/>
  <c r="AC242" i="1" s="1"/>
  <c r="Y246" i="1"/>
  <c r="X246" i="1"/>
  <c r="AA242" i="1" s="1"/>
  <c r="Z194" i="1"/>
  <c r="X194" i="1"/>
  <c r="Y194" i="1"/>
  <c r="AC317" i="1"/>
  <c r="Y91" i="1"/>
  <c r="Z91" i="1"/>
  <c r="AC91" i="1" s="1"/>
  <c r="AF91" i="1" s="1"/>
  <c r="X18" i="1"/>
  <c r="Y28" i="1"/>
  <c r="X28" i="1"/>
  <c r="Z53" i="1"/>
  <c r="Y53" i="1"/>
  <c r="X53" i="1"/>
  <c r="X64" i="1"/>
  <c r="Z64" i="1"/>
  <c r="X32" i="1"/>
  <c r="AA32" i="1" s="1"/>
  <c r="AD32" i="1" s="1"/>
  <c r="Z32" i="1"/>
  <c r="Y32" i="1"/>
  <c r="AB32" i="1" s="1"/>
  <c r="AE32" i="1" s="1"/>
  <c r="J73" i="3"/>
  <c r="L73" i="3"/>
  <c r="N81" i="3"/>
  <c r="X27" i="1"/>
  <c r="Z27" i="1"/>
  <c r="AC27" i="1" s="1"/>
  <c r="AF27" i="1" s="1"/>
  <c r="Y27" i="1"/>
  <c r="N64" i="3"/>
  <c r="Z38" i="1"/>
  <c r="X38" i="1"/>
  <c r="Z46" i="1"/>
  <c r="K332" i="1"/>
  <c r="J41" i="3"/>
  <c r="Z52" i="1"/>
  <c r="X52" i="1"/>
  <c r="Y52" i="1"/>
  <c r="J85" i="3"/>
  <c r="K88" i="3"/>
  <c r="X72" i="1"/>
  <c r="AB17" i="1" l="1"/>
  <c r="AE17" i="1" s="1"/>
  <c r="AA38" i="1"/>
  <c r="AD38" i="1" s="1"/>
  <c r="AA17" i="1"/>
  <c r="AD17" i="1" s="1"/>
  <c r="AB45" i="1"/>
  <c r="AE45" i="1" s="1"/>
  <c r="AA151" i="1"/>
  <c r="AD151" i="1" s="1"/>
  <c r="AB151" i="1"/>
  <c r="AE151" i="1" s="1"/>
  <c r="K90" i="1"/>
  <c r="R90" i="1" s="1"/>
  <c r="R89" i="1"/>
  <c r="AA72" i="1"/>
  <c r="AD72" i="1" s="1"/>
  <c r="K102" i="1"/>
  <c r="R102" i="1" s="1"/>
  <c r="R101" i="1"/>
  <c r="AB306" i="1"/>
  <c r="AB307" i="1"/>
  <c r="AB308" i="1"/>
  <c r="AC191" i="1"/>
  <c r="AF191" i="1" s="1"/>
  <c r="AC103" i="1"/>
  <c r="AF103" i="1" s="1"/>
  <c r="AA177" i="1"/>
  <c r="AD177" i="1" s="1"/>
  <c r="AA166" i="1"/>
  <c r="AD166" i="1" s="1"/>
  <c r="AB91" i="1"/>
  <c r="AE91" i="1" s="1"/>
  <c r="AA123" i="1"/>
  <c r="AD123" i="1" s="1"/>
  <c r="AA319" i="1"/>
  <c r="AA63" i="1"/>
  <c r="AD63" i="1" s="1"/>
  <c r="AC63" i="1"/>
  <c r="AF63" i="1" s="1"/>
  <c r="AA191" i="1"/>
  <c r="AD191" i="1" s="1"/>
  <c r="AB242" i="1"/>
  <c r="AE242" i="1" s="1"/>
  <c r="AA223" i="1"/>
  <c r="AD223" i="1" s="1"/>
  <c r="AA204" i="1"/>
  <c r="AD204" i="1" s="1"/>
  <c r="AC223" i="1"/>
  <c r="AF223" i="1" s="1"/>
  <c r="AB204" i="1"/>
  <c r="AE204" i="1" s="1"/>
  <c r="AB232" i="1"/>
  <c r="AE232" i="1" s="1"/>
  <c r="AC38" i="1"/>
  <c r="AF38" i="1" s="1"/>
  <c r="AC114" i="1"/>
  <c r="AF114" i="1" s="1"/>
  <c r="AC142" i="1"/>
  <c r="AF142" i="1" s="1"/>
  <c r="K307" i="1"/>
  <c r="R307" i="1" s="1"/>
  <c r="AB191" i="1"/>
  <c r="AE191" i="1" s="1"/>
  <c r="AC132" i="1"/>
  <c r="AF132" i="1" s="1"/>
  <c r="AC32" i="1"/>
  <c r="AF32" i="1" s="1"/>
  <c r="AB114" i="1"/>
  <c r="AE114" i="1" s="1"/>
  <c r="AC293" i="1"/>
  <c r="K133" i="1"/>
  <c r="R133" i="1" s="1"/>
  <c r="R204" i="1"/>
  <c r="K224" i="1"/>
  <c r="R224" i="1" s="1"/>
  <c r="AC45" i="1"/>
  <c r="AF45" i="1" s="1"/>
  <c r="AA27" i="1"/>
  <c r="AD27" i="1" s="1"/>
  <c r="K152" i="1"/>
  <c r="R152" i="1" s="1"/>
  <c r="R142" i="1"/>
  <c r="R214" i="1"/>
  <c r="R242" i="1"/>
  <c r="K345" i="1"/>
  <c r="R345" i="1" s="1"/>
  <c r="K233" i="1"/>
  <c r="R233" i="1" s="1"/>
  <c r="R166" i="1"/>
  <c r="R251" i="1"/>
  <c r="K178" i="1"/>
  <c r="R178" i="1" s="1"/>
  <c r="AD242" i="1"/>
  <c r="AC309" i="1"/>
  <c r="AC306" i="1"/>
  <c r="AC307" i="1"/>
  <c r="AC308" i="1"/>
  <c r="AF242" i="1"/>
  <c r="AC274" i="1"/>
  <c r="R351" i="1"/>
  <c r="R123" i="1"/>
  <c r="R191" i="1"/>
  <c r="AA274" i="1"/>
  <c r="AA52" i="1"/>
  <c r="AD52" i="1" s="1"/>
  <c r="AC52" i="1"/>
  <c r="AF52" i="1" s="1"/>
  <c r="R114" i="1"/>
  <c r="AB27" i="1"/>
  <c r="AE27" i="1" s="1"/>
  <c r="AB52" i="1"/>
  <c r="AE52" i="1" s="1"/>
  <c r="K261" i="1"/>
  <c r="R261" i="1" s="1"/>
  <c r="K26" i="1"/>
  <c r="R26" i="1" s="1"/>
  <c r="R25" i="1"/>
  <c r="R332" i="1"/>
  <c r="K333" i="1"/>
  <c r="R333" i="1" s="1"/>
  <c r="R43" i="1"/>
  <c r="K44" i="1"/>
  <c r="R44" i="1" s="1"/>
  <c r="K71" i="1"/>
  <c r="R71" i="1" s="1"/>
  <c r="R70" i="1"/>
  <c r="K51" i="1"/>
  <c r="R51" i="1" s="1"/>
  <c r="R50" i="1"/>
  <c r="R36" i="1"/>
  <c r="K37" i="1"/>
  <c r="R37" i="1" s="1"/>
  <c r="K31" i="1"/>
  <c r="R31" i="1" s="1"/>
  <c r="R30" i="1"/>
  <c r="R293" i="1"/>
  <c r="K294" i="1"/>
  <c r="R294" i="1" s="1"/>
  <c r="K62" i="1" l="1"/>
  <c r="R62" i="1" s="1"/>
  <c r="R61" i="1"/>
  <c r="R274" i="1"/>
  <c r="K275" i="1"/>
  <c r="R275" i="1" s="1"/>
</calcChain>
</file>

<file path=xl/sharedStrings.xml><?xml version="1.0" encoding="utf-8"?>
<sst xmlns="http://schemas.openxmlformats.org/spreadsheetml/2006/main" count="1224" uniqueCount="291">
  <si>
    <t>Denumirea postului</t>
  </si>
  <si>
    <t>Numele şi prenumele</t>
  </si>
  <si>
    <t>Specialit. şi titlul ştiinţific</t>
  </si>
  <si>
    <t>Titular sau suplinitor</t>
  </si>
  <si>
    <t>DISCIPLINE</t>
  </si>
  <si>
    <t>Anii de studii, seria, nr. de grupă</t>
  </si>
  <si>
    <t>din care:</t>
  </si>
  <si>
    <t>CURS</t>
  </si>
  <si>
    <t>Total ore</t>
  </si>
  <si>
    <t>Sem I.</t>
  </si>
  <si>
    <t>Sem II.</t>
  </si>
  <si>
    <t>11a</t>
  </si>
  <si>
    <t>11b</t>
  </si>
  <si>
    <t>12a</t>
  </si>
  <si>
    <t>12b</t>
  </si>
  <si>
    <t>titular</t>
  </si>
  <si>
    <t>Conf.</t>
  </si>
  <si>
    <t>I</t>
  </si>
  <si>
    <t>II</t>
  </si>
  <si>
    <t>I/2g</t>
  </si>
  <si>
    <t>Vechime în înv. sup</t>
  </si>
  <si>
    <t>Nr. crt.</t>
  </si>
  <si>
    <t>Funcţia</t>
  </si>
  <si>
    <t>III</t>
  </si>
  <si>
    <t>IV</t>
  </si>
  <si>
    <t>Asist.</t>
  </si>
  <si>
    <t>STAT DE FUNCŢIUNI ŞI PERSONAL DIDACTIC</t>
  </si>
  <si>
    <t>Total (medie săpt.)</t>
  </si>
  <si>
    <t>Numărul orelor de activitate directă cu studenţii</t>
  </si>
  <si>
    <t>sem., lucr. pr., proiecte</t>
  </si>
  <si>
    <t xml:space="preserve">Facultatea sau specializ.
</t>
  </si>
  <si>
    <t>Prof.</t>
  </si>
  <si>
    <t xml:space="preserve">Nivelul </t>
  </si>
  <si>
    <t>Alte activităti</t>
  </si>
  <si>
    <t>Denumirea</t>
  </si>
  <si>
    <t>Alte mențiuni</t>
  </si>
  <si>
    <t>Nr de saptamani</t>
  </si>
  <si>
    <t>M</t>
  </si>
  <si>
    <t>Consultatii</t>
  </si>
  <si>
    <t>Examene</t>
  </si>
  <si>
    <t>Evaluare lucrari de control</t>
  </si>
  <si>
    <t>Indrumare licenta/diploma</t>
  </si>
  <si>
    <t>Total drepturi salariale</t>
  </si>
  <si>
    <t>Numele şi funcţia cadrului didactic suplinitor</t>
  </si>
  <si>
    <t>Analiza şi sinteza dispozitivelor numerice (Proiectare logică) (Electronică digitală)</t>
  </si>
  <si>
    <r>
      <t xml:space="preserve">Măsurări electrice, senzori şi traductoare (Măsurări şi traductoare)(Măsurări  </t>
    </r>
    <r>
      <rPr>
        <sz val="10"/>
        <rFont val="Calibri"/>
        <family val="2"/>
      </rPr>
      <t>î</t>
    </r>
    <r>
      <rPr>
        <sz val="10"/>
        <rFont val="Times New Roman"/>
        <family val="1"/>
      </rPr>
      <t>n electronic</t>
    </r>
    <r>
      <rPr>
        <sz val="10"/>
        <rFont val="Calibri"/>
        <family val="2"/>
      </rPr>
      <t xml:space="preserve">ã </t>
    </r>
    <r>
      <rPr>
        <sz val="10"/>
        <rFont val="Times New Roman"/>
        <family val="1"/>
      </rPr>
      <t xml:space="preserve"> </t>
    </r>
    <r>
      <rPr>
        <sz val="10"/>
        <rFont val="Calibri"/>
        <family val="2"/>
      </rPr>
      <t>ş</t>
    </r>
    <r>
      <rPr>
        <sz val="10"/>
        <rFont val="Times New Roman"/>
        <family val="1"/>
      </rPr>
      <t>i telecomunica</t>
    </r>
    <r>
      <rPr>
        <sz val="10"/>
        <rFont val="Calibri"/>
        <family val="2"/>
      </rPr>
      <t>ţ</t>
    </r>
    <r>
      <rPr>
        <sz val="10"/>
        <rFont val="Times New Roman"/>
        <family val="1"/>
      </rPr>
      <t>ii)</t>
    </r>
  </si>
  <si>
    <r>
      <t>Teoria transmiterii informa</t>
    </r>
    <r>
      <rPr>
        <sz val="10"/>
        <rFont val="Calibri"/>
        <family val="2"/>
      </rPr>
      <t>ţ</t>
    </r>
    <r>
      <rPr>
        <sz val="10"/>
        <rFont val="Times New Roman"/>
        <family val="1"/>
      </rPr>
      <t>iei</t>
    </r>
  </si>
  <si>
    <t>Calc+Aut+Tst</t>
  </si>
  <si>
    <t>Calc+Aut+Mec+Tst+Tcm</t>
  </si>
  <si>
    <t>Tst</t>
  </si>
  <si>
    <t>II/II/II</t>
  </si>
  <si>
    <t>Inteligenţă artificială</t>
  </si>
  <si>
    <t>Aut+Calc+Inf</t>
  </si>
  <si>
    <t>III/III/III</t>
  </si>
  <si>
    <t>Optimizări II</t>
  </si>
  <si>
    <t>Aut</t>
  </si>
  <si>
    <t>Reglare predictivă bazată pe model</t>
  </si>
  <si>
    <t>Electronică digitală (Sisteme digitale)</t>
  </si>
  <si>
    <t>Dispozitive electronice şi electronică analogică</t>
  </si>
  <si>
    <t>Electronică digitală</t>
  </si>
  <si>
    <t>Mec+TCM</t>
  </si>
  <si>
    <t>Calc</t>
  </si>
  <si>
    <t>II/II</t>
  </si>
  <si>
    <t>I/1G</t>
  </si>
  <si>
    <t>II/1G</t>
  </si>
  <si>
    <t>II/1g</t>
  </si>
  <si>
    <t>AUT</t>
  </si>
  <si>
    <t>SZAMT</t>
  </si>
  <si>
    <t>A0</t>
  </si>
  <si>
    <t>Domokos J</t>
  </si>
  <si>
    <t>P0</t>
  </si>
  <si>
    <t>Szekely I</t>
  </si>
  <si>
    <t>David L</t>
  </si>
  <si>
    <t>P1</t>
  </si>
  <si>
    <t>Vacant1</t>
  </si>
  <si>
    <t>Vacant2</t>
  </si>
  <si>
    <t>D0</t>
  </si>
  <si>
    <t>Márton L.F.</t>
  </si>
  <si>
    <t>Kenéz L.</t>
  </si>
  <si>
    <t>Márton L.</t>
  </si>
  <si>
    <t>Szilágyi L.</t>
  </si>
  <si>
    <t>D1</t>
  </si>
  <si>
    <t>Vacant3</t>
  </si>
  <si>
    <t>Szabó L</t>
  </si>
  <si>
    <t>György K.</t>
  </si>
  <si>
    <t>Brassai T.</t>
  </si>
  <si>
    <t>Bakó L.</t>
  </si>
  <si>
    <t>Kelemen A.</t>
  </si>
  <si>
    <t>Papp S.</t>
  </si>
  <si>
    <t>Kutasi N.</t>
  </si>
  <si>
    <t>Vajda T.</t>
  </si>
  <si>
    <t>Csernát G.</t>
  </si>
  <si>
    <t>Iclanzan D.</t>
  </si>
  <si>
    <t>Losonczi L.</t>
  </si>
  <si>
    <t>A1</t>
  </si>
  <si>
    <t>Vacant4</t>
  </si>
  <si>
    <t>Vacant5</t>
  </si>
  <si>
    <t>Vacant6</t>
  </si>
  <si>
    <t>T1</t>
  </si>
  <si>
    <t>Lefkovits L.</t>
  </si>
  <si>
    <t>Szántó Z.</t>
  </si>
  <si>
    <t>Vacant7</t>
  </si>
  <si>
    <t>Vacant8</t>
  </si>
  <si>
    <t>Kasa Z.</t>
  </si>
  <si>
    <t>Katai Z.</t>
  </si>
  <si>
    <t>Szasz</t>
  </si>
  <si>
    <t>Kupan P.</t>
  </si>
  <si>
    <t>Antal M.</t>
  </si>
  <si>
    <t>Kovacs L.</t>
  </si>
  <si>
    <t>Marton Gy.</t>
  </si>
  <si>
    <t>Dane K.</t>
  </si>
  <si>
    <t>Bartha Zs.</t>
  </si>
  <si>
    <t>Fogarasi K.</t>
  </si>
  <si>
    <t>Janosi R.K.</t>
  </si>
  <si>
    <t>Farkas Cs.</t>
  </si>
  <si>
    <t>Vekov G.</t>
  </si>
  <si>
    <t>Biro D</t>
  </si>
  <si>
    <t>Bakos L.</t>
  </si>
  <si>
    <t>Vacant</t>
  </si>
  <si>
    <t>Prelucrarea imaginilor (Prelucrarea digitala a imaginilor)</t>
  </si>
  <si>
    <t>Modelare şi simulare</t>
  </si>
  <si>
    <t>vacant</t>
  </si>
  <si>
    <t>Capitole speciale de inteligenţă artificială</t>
  </si>
  <si>
    <t>Probabilităţi şi statistică</t>
  </si>
  <si>
    <t>Teoria sistemelor II</t>
  </si>
  <si>
    <t>Calc+Aut+Inf+Tst</t>
  </si>
  <si>
    <t>III/2g</t>
  </si>
  <si>
    <t>IV/2g</t>
  </si>
  <si>
    <t>Aut+Calc</t>
  </si>
  <si>
    <t>IV/1g</t>
  </si>
  <si>
    <t>II/2g</t>
  </si>
  <si>
    <t>Electrotehnică I (Electrotehnică) (Bazele electrotehnicii)</t>
  </si>
  <si>
    <t>Fizică II</t>
  </si>
  <si>
    <t>Aut+Calc+Tst</t>
  </si>
  <si>
    <t>Electrotehnică II</t>
  </si>
  <si>
    <t>I/1g</t>
  </si>
  <si>
    <t>Teoria sistemelor I (Semnale şi sisteme)</t>
  </si>
  <si>
    <t>Aut+Calc+Mec</t>
  </si>
  <si>
    <t>Mec</t>
  </si>
  <si>
    <t>III/1G</t>
  </si>
  <si>
    <t>Testarea sistemelor de calcul</t>
  </si>
  <si>
    <t>Ingineria sistemelor de programare (Ingineria programelor) (Ingineria programării)</t>
  </si>
  <si>
    <t>Calc+Aut</t>
  </si>
  <si>
    <t>Aut+Calc+Inf+Tst</t>
  </si>
  <si>
    <t>Maşini electrice şi acţionări</t>
  </si>
  <si>
    <t>Acţionări electrice reglabile</t>
  </si>
  <si>
    <t>Tcm</t>
  </si>
  <si>
    <t>III/1g</t>
  </si>
  <si>
    <t>Robotică (Sisteme de conducere în robotică)</t>
  </si>
  <si>
    <t>Ingineria reglării automate (Conducere cu calculator)</t>
  </si>
  <si>
    <t>Sisteme automate cu eşantionare</t>
  </si>
  <si>
    <t xml:space="preserve">Programare shell şi utilizare UNIX/Sisteme de operare </t>
  </si>
  <si>
    <t>Calc+Inf+Tst</t>
  </si>
  <si>
    <t>Aut+Calc+Inf +Tst</t>
  </si>
  <si>
    <t>Tehnologii Web</t>
  </si>
  <si>
    <t>Şef lucr.</t>
  </si>
  <si>
    <t>Departamentul de Inginerie Electrică</t>
  </si>
  <si>
    <t>Sisteme de conducere adaptive</t>
  </si>
  <si>
    <t>Sisteme de operare (Sisteme de operare II)</t>
  </si>
  <si>
    <t>Calc+Aut+Inf</t>
  </si>
  <si>
    <t>Circuite digitale reconfigurabile</t>
  </si>
  <si>
    <t>Echipamente periferice şi interfeţe</t>
  </si>
  <si>
    <t>Calc+Aut+Mec</t>
  </si>
  <si>
    <t>Arhitectura sistemelor de calcul (Arhitectura calculatoarelor)</t>
  </si>
  <si>
    <t xml:space="preserve">Calc+Aut+Mec+Tst </t>
  </si>
  <si>
    <t>Electronică de putere</t>
  </si>
  <si>
    <t>Aut+Mec+Tcm</t>
  </si>
  <si>
    <t>Mec+Tcm</t>
  </si>
  <si>
    <t>Circuite electronice liniare A2 (Circuite electronice fundamentale)</t>
  </si>
  <si>
    <t>Aut+Tst</t>
  </si>
  <si>
    <t>Automate şi microprogramare</t>
  </si>
  <si>
    <t>Prelucrarea digitală a semnalelor</t>
  </si>
  <si>
    <t>Calc+Inf+Aut+Tst</t>
  </si>
  <si>
    <t>Reţele de calculatoare (Arhitecturi de reţea şi internet)</t>
  </si>
  <si>
    <t>Sisteme cu microprocesoare (Proiectare cu microprocesoare)(Microcontrolere)</t>
  </si>
  <si>
    <t>Calc+Aut+Mec+Tst</t>
  </si>
  <si>
    <t>Arhitectura sistemelor de calcul</t>
  </si>
  <si>
    <t>Inf</t>
  </si>
  <si>
    <t>Algoritmi paraleli şi distribuiţi</t>
  </si>
  <si>
    <t>Circuite integrate analogice</t>
  </si>
  <si>
    <t>Optoelectronică</t>
  </si>
  <si>
    <t>Programare în limbaj de asamblare (Limbaj de asamblare) (Limbaje de asamblare)</t>
  </si>
  <si>
    <t>Tehnologii de comunicaţii radio şi microunde</t>
  </si>
  <si>
    <t>Reţele de telefonie IP</t>
  </si>
  <si>
    <t>Televiziune</t>
  </si>
  <si>
    <t>Sisteme de comunicaţii mobile</t>
  </si>
  <si>
    <t>Protocoale pentru internet</t>
  </si>
  <si>
    <t>Sisteme de comutaţie şi rutare</t>
  </si>
  <si>
    <t>Sisteme de transmisiuni telefonice</t>
  </si>
  <si>
    <t>Sisteme de telecomunicaţii (Reţele de telecomunicaţii)</t>
  </si>
  <si>
    <t xml:space="preserve">Teoria transmiterii informaţiei </t>
  </si>
  <si>
    <t>Tehnici de modulaţie</t>
  </si>
  <si>
    <t>Analiza asistată de calculator a circuitelor electronice ( Proiectarea asistată de calculator a circuitelor electronice)</t>
  </si>
  <si>
    <t>Tst+Aut</t>
  </si>
  <si>
    <t xml:space="preserve">Electronică digitală  </t>
  </si>
  <si>
    <t>suplinitor</t>
  </si>
  <si>
    <t>Ingineria sistemelor de programare</t>
  </si>
  <si>
    <t>Tehnici de optimizare</t>
  </si>
  <si>
    <t>Programare distribuită</t>
  </si>
  <si>
    <t>I/3g</t>
  </si>
  <si>
    <t>SCI+SMA</t>
  </si>
  <si>
    <t>Matematika-Informatika Tanszék</t>
  </si>
  <si>
    <t>Villamosmérnöki Tanszék</t>
  </si>
  <si>
    <t>Gépészmérnöki Tanszék</t>
  </si>
  <si>
    <t>Alkalmazott Nyelvészet Tanszék</t>
  </si>
  <si>
    <t>Alkalmazott Társadalomtudományok Tanszék</t>
  </si>
  <si>
    <t>Tehnici moderne în control automat</t>
  </si>
  <si>
    <t>Capitole speciale de softcomputing</t>
  </si>
  <si>
    <t>DS</t>
  </si>
  <si>
    <t>I/I/I</t>
  </si>
  <si>
    <t>II/II/II/II</t>
  </si>
  <si>
    <t>III/III/III/III/III</t>
  </si>
  <si>
    <t>IV/IV/III/IV</t>
  </si>
  <si>
    <t>IV/IV</t>
  </si>
  <si>
    <t>I/I/I/I/I</t>
  </si>
  <si>
    <t>IV/IV/IV</t>
  </si>
  <si>
    <t>III/III/III/III</t>
  </si>
  <si>
    <t>III/III/II/III</t>
  </si>
  <si>
    <t>Modelare, identificare şi simulare</t>
  </si>
  <si>
    <t>Analiza şi sinteza circuitelor electronice</t>
  </si>
  <si>
    <t>IV/IV/III</t>
  </si>
  <si>
    <t>III/IV/III</t>
  </si>
  <si>
    <t>Electronică de putere (proiect)</t>
  </si>
  <si>
    <t xml:space="preserve">Sisteme automate cu eşantionare </t>
  </si>
  <si>
    <t>Sisteme automate cu eşantionare (proiect)</t>
  </si>
  <si>
    <t>Circuite digitale reconfigurabile (proiect)</t>
  </si>
  <si>
    <t>TÁVK</t>
  </si>
  <si>
    <t>Székely S.</t>
  </si>
  <si>
    <t>Molnár L.</t>
  </si>
  <si>
    <t>Vasloban</t>
  </si>
  <si>
    <t>Kovacs G.</t>
  </si>
  <si>
    <t>TVK</t>
  </si>
  <si>
    <t>prof+conf</t>
  </si>
  <si>
    <t>Participare comisii</t>
  </si>
  <si>
    <t>Indrumare licenta</t>
  </si>
  <si>
    <t>Cerc studentesc</t>
  </si>
  <si>
    <t>Evaluare studenti</t>
  </si>
  <si>
    <t>UNIVERSITATEA SAPIENTIA DIN CLUJ-NAPOCA</t>
  </si>
  <si>
    <t>FACULTATEA DE ȘTIINŢE TEHNICE ŞI UMANISTE, TÂRGU MUREŞ</t>
  </si>
  <si>
    <t>Anul universitar 2015/2016</t>
  </si>
  <si>
    <t>Dr. în inginerie electronică și telecom.</t>
  </si>
  <si>
    <t xml:space="preserve">Facultatea si specializările
</t>
  </si>
  <si>
    <t>Licență sau master</t>
  </si>
  <si>
    <t>Nr. ore alocate</t>
  </si>
  <si>
    <t>Anii de studii, grupa/ subgrupa</t>
  </si>
  <si>
    <t>Aut+Calc+ Mec+Inf+Tst</t>
  </si>
  <si>
    <t>Calc+Aut+Tst+Mec+Tcm</t>
  </si>
  <si>
    <t>I/I/I/II/II/II</t>
  </si>
  <si>
    <t>Programare shell şi utilizare UNIX/Sisteme de operare/Sisteme de operare I</t>
  </si>
  <si>
    <t>Reţele de calculatoare (Arhitecturi de reţea şi internet) (proiect)</t>
  </si>
  <si>
    <t>Optimizări I (Optimizări) (Tehnici de optimizare)</t>
  </si>
  <si>
    <t>Ingineria reglării automate (Conducere cu calculator) (proiect)</t>
  </si>
  <si>
    <t>III/III/IV/IV</t>
  </si>
  <si>
    <t>Sisteme distribuite  (Programare distribuita)</t>
  </si>
  <si>
    <t>Sisteme distribuite  (Programare distribuita) (proiect)</t>
  </si>
  <si>
    <t>Sisteme SCADA și comunicații industriale</t>
  </si>
  <si>
    <t>Dr. în Informatică</t>
  </si>
  <si>
    <t>Dr. în inginerie electrică</t>
  </si>
  <si>
    <t>Programare logică şi funcţională</t>
  </si>
  <si>
    <t>Programare şi limbaje de programare</t>
  </si>
  <si>
    <t>Utilizarea calculatoarelor și aplicații Internet</t>
  </si>
  <si>
    <t>Ingineria sistemelor de programare (Ingineria programelor) (Ingineria programării)(proiect)</t>
  </si>
  <si>
    <t>Frakcio</t>
  </si>
  <si>
    <t>Teoria măsurării în medicină</t>
  </si>
  <si>
    <t>SCI</t>
  </si>
  <si>
    <t>I+II</t>
  </si>
  <si>
    <t>I+II/1G</t>
  </si>
  <si>
    <t>Sisteme electronice încorporate</t>
  </si>
  <si>
    <t>SMA</t>
  </si>
  <si>
    <t>I+II/1g</t>
  </si>
  <si>
    <t>Sisteme cu evenimente discrete</t>
  </si>
  <si>
    <t>Rețele senzoriale</t>
  </si>
  <si>
    <t>Metode de cercetare, creativitate și inventică</t>
  </si>
  <si>
    <t>Sisteme vizuale artificiale și prelucrarea formelor</t>
  </si>
  <si>
    <t>Sisteme autonome și telecomandate</t>
  </si>
  <si>
    <t>SCI+SMA+DS</t>
  </si>
  <si>
    <t>Instrumentație virtuală</t>
  </si>
  <si>
    <t>Dr. în Fizică</t>
  </si>
  <si>
    <t>Dr. inginer</t>
  </si>
  <si>
    <t>Dr. în sisteme automate</t>
  </si>
  <si>
    <t>Dr. în automatică</t>
  </si>
  <si>
    <t>Dr. în știința calculatoarelor</t>
  </si>
  <si>
    <t>Dr. în informatică</t>
  </si>
  <si>
    <t>Drd. Calculatoare și tehnologia informației</t>
  </si>
  <si>
    <t>Drd. Inginerie electronică și telecom.</t>
  </si>
  <si>
    <t>Vacant (propus pentru concurs)</t>
  </si>
  <si>
    <t>Consultații/ Examene</t>
  </si>
  <si>
    <t>Consultatii/ Examene</t>
  </si>
  <si>
    <t>Numele şi prenumele cadrului didactic</t>
  </si>
  <si>
    <t>Nume Prenume</t>
  </si>
  <si>
    <t xml:space="preserve">Anexa 3 la Caietul de sarcini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</si>
</sst>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5"/>
      <color theme="3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charset val="238"/>
      <scheme val="minor"/>
    </font>
    <font>
      <sz val="10"/>
      <color rgb="FF00B050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B050"/>
      <name val="Times New Roman"/>
      <family val="1"/>
    </font>
    <font>
      <sz val="10"/>
      <color theme="3" tint="0.39997558519241921"/>
      <name val="Times New Roman"/>
      <family val="1"/>
    </font>
    <font>
      <sz val="10"/>
      <color theme="9" tint="-0.499984740745262"/>
      <name val="Times New Roman"/>
      <family val="1"/>
    </font>
    <font>
      <sz val="11"/>
      <color theme="3" tint="0.39997558519241921"/>
      <name val="Times New Roman"/>
      <family val="1"/>
    </font>
    <font>
      <sz val="10"/>
      <color theme="6" tint="-0.499984740745262"/>
      <name val="Times New Roman"/>
      <family val="1"/>
    </font>
    <font>
      <b/>
      <sz val="10"/>
      <color theme="9" tint="-0.499984740745262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10"/>
      <color theme="6" tint="-0.499984740745262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9" tint="-0.249977111117893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9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rgb="FF000000"/>
      <name val="Arial,Bold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41" applyNumberFormat="0" applyFill="0" applyAlignment="0" applyProtection="0"/>
  </cellStyleXfs>
  <cellXfs count="452">
    <xf numFmtId="0" fontId="0" fillId="0" borderId="0" xfId="0"/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Fill="1" applyBorder="1" applyAlignment="1" applyProtection="1">
      <alignment horizont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>
      <alignment horizontal="center" vertical="top" wrapText="1"/>
    </xf>
    <xf numFmtId="0" fontId="4" fillId="0" borderId="0" xfId="1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left" wrapText="1"/>
      <protection locked="0"/>
    </xf>
    <xf numFmtId="0" fontId="12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wrapText="1"/>
      <protection locked="0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left" wrapText="1"/>
      <protection locked="0"/>
    </xf>
    <xf numFmtId="2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>
      <alignment vertical="center" wrapText="1"/>
    </xf>
    <xf numFmtId="2" fontId="1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center" wrapText="1"/>
    </xf>
    <xf numFmtId="1" fontId="0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1" fontId="1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2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center" wrapText="1"/>
    </xf>
    <xf numFmtId="0" fontId="12" fillId="0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1" fontId="1" fillId="0" borderId="0" xfId="0" applyNumberFormat="1" applyFont="1" applyFill="1" applyAlignment="1" applyProtection="1">
      <alignment horizontal="center" wrapText="1"/>
    </xf>
    <xf numFmtId="0" fontId="1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wrapText="1"/>
    </xf>
    <xf numFmtId="0" fontId="1" fillId="0" borderId="6" xfId="0" applyFont="1" applyFill="1" applyBorder="1" applyAlignment="1" applyProtection="1">
      <alignment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9" fillId="0" borderId="0" xfId="0" applyNumberFormat="1" applyFont="1"/>
    <xf numFmtId="2" fontId="20" fillId="0" borderId="0" xfId="0" applyNumberFormat="1" applyFont="1"/>
    <xf numFmtId="0" fontId="12" fillId="0" borderId="7" xfId="0" applyFont="1" applyFill="1" applyBorder="1" applyAlignment="1">
      <alignment horizontal="center" vertical="center" wrapText="1"/>
    </xf>
    <xf numFmtId="2" fontId="1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2" fontId="12" fillId="0" borderId="8" xfId="0" applyNumberFormat="1" applyFont="1" applyFill="1" applyBorder="1" applyAlignment="1">
      <alignment horizontal="center" vertical="center" wrapText="1"/>
    </xf>
    <xf numFmtId="2" fontId="11" fillId="0" borderId="9" xfId="0" applyNumberFormat="1" applyFont="1" applyFill="1" applyBorder="1" applyAlignment="1">
      <alignment vertical="top" wrapText="1"/>
    </xf>
    <xf numFmtId="2" fontId="12" fillId="0" borderId="10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2" fontId="12" fillId="3" borderId="5" xfId="0" applyNumberFormat="1" applyFont="1" applyFill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2" fontId="17" fillId="0" borderId="9" xfId="0" applyNumberFormat="1" applyFont="1" applyBorder="1"/>
    <xf numFmtId="2" fontId="17" fillId="0" borderId="5" xfId="0" applyNumberFormat="1" applyFont="1" applyBorder="1"/>
    <xf numFmtId="2" fontId="17" fillId="0" borderId="0" xfId="0" applyNumberFormat="1" applyFont="1"/>
    <xf numFmtId="2" fontId="17" fillId="0" borderId="13" xfId="0" applyNumberFormat="1" applyFont="1" applyBorder="1"/>
    <xf numFmtId="2" fontId="17" fillId="0" borderId="1" xfId="0" applyNumberFormat="1" applyFont="1" applyBorder="1"/>
    <xf numFmtId="2" fontId="17" fillId="4" borderId="1" xfId="0" applyNumberFormat="1" applyFont="1" applyFill="1" applyBorder="1"/>
    <xf numFmtId="2" fontId="17" fillId="5" borderId="1" xfId="0" applyNumberFormat="1" applyFont="1" applyFill="1" applyBorder="1"/>
    <xf numFmtId="2" fontId="17" fillId="5" borderId="14" xfId="0" applyNumberFormat="1" applyFont="1" applyFill="1" applyBorder="1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5" borderId="1" xfId="0" applyNumberFormat="1" applyFont="1" applyFill="1" applyBorder="1"/>
    <xf numFmtId="2" fontId="1" fillId="0" borderId="0" xfId="0" applyNumberFormat="1" applyFont="1"/>
    <xf numFmtId="2" fontId="1" fillId="0" borderId="13" xfId="0" applyNumberFormat="1" applyFont="1" applyBorder="1"/>
    <xf numFmtId="2" fontId="17" fillId="4" borderId="0" xfId="0" applyNumberFormat="1" applyFont="1" applyFill="1"/>
    <xf numFmtId="2" fontId="17" fillId="5" borderId="0" xfId="0" applyNumberFormat="1" applyFont="1" applyFill="1"/>
    <xf numFmtId="2" fontId="15" fillId="0" borderId="13" xfId="0" applyNumberFormat="1" applyFont="1" applyBorder="1"/>
    <xf numFmtId="2" fontId="15" fillId="0" borderId="1" xfId="0" applyNumberFormat="1" applyFont="1" applyBorder="1"/>
    <xf numFmtId="2" fontId="15" fillId="4" borderId="1" xfId="0" applyNumberFormat="1" applyFont="1" applyFill="1" applyBorder="1"/>
    <xf numFmtId="2" fontId="15" fillId="5" borderId="1" xfId="0" applyNumberFormat="1" applyFont="1" applyFill="1" applyBorder="1"/>
    <xf numFmtId="2" fontId="15" fillId="5" borderId="14" xfId="0" applyNumberFormat="1" applyFont="1" applyFill="1" applyBorder="1"/>
    <xf numFmtId="2" fontId="15" fillId="0" borderId="0" xfId="0" applyNumberFormat="1" applyFont="1"/>
    <xf numFmtId="2" fontId="15" fillId="4" borderId="0" xfId="0" applyNumberFormat="1" applyFont="1" applyFill="1"/>
    <xf numFmtId="2" fontId="15" fillId="5" borderId="0" xfId="0" applyNumberFormat="1" applyFont="1" applyFill="1"/>
    <xf numFmtId="2" fontId="22" fillId="0" borderId="0" xfId="0" applyNumberFormat="1" applyFont="1"/>
    <xf numFmtId="2" fontId="22" fillId="4" borderId="0" xfId="0" applyNumberFormat="1" applyFont="1" applyFill="1"/>
    <xf numFmtId="2" fontId="22" fillId="5" borderId="0" xfId="0" applyNumberFormat="1" applyFont="1" applyFill="1"/>
    <xf numFmtId="2" fontId="23" fillId="0" borderId="1" xfId="0" applyNumberFormat="1" applyFont="1" applyBorder="1"/>
    <xf numFmtId="2" fontId="23" fillId="4" borderId="1" xfId="0" applyNumberFormat="1" applyFont="1" applyFill="1" applyBorder="1"/>
    <xf numFmtId="2" fontId="23" fillId="5" borderId="1" xfId="0" applyNumberFormat="1" applyFont="1" applyFill="1" applyBorder="1"/>
    <xf numFmtId="2" fontId="23" fillId="5" borderId="14" xfId="0" applyNumberFormat="1" applyFont="1" applyFill="1" applyBorder="1"/>
    <xf numFmtId="2" fontId="23" fillId="0" borderId="0" xfId="0" applyNumberFormat="1" applyFont="1"/>
    <xf numFmtId="2" fontId="23" fillId="4" borderId="0" xfId="0" applyNumberFormat="1" applyFont="1" applyFill="1"/>
    <xf numFmtId="2" fontId="23" fillId="5" borderId="0" xfId="0" applyNumberFormat="1" applyFont="1" applyFill="1"/>
    <xf numFmtId="2" fontId="17" fillId="0" borderId="11" xfId="0" applyNumberFormat="1" applyFont="1" applyBorder="1"/>
    <xf numFmtId="2" fontId="17" fillId="0" borderId="15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2" fontId="17" fillId="0" borderId="17" xfId="0" applyNumberFormat="1" applyFont="1" applyBorder="1" applyAlignment="1">
      <alignment horizontal="center"/>
    </xf>
    <xf numFmtId="2" fontId="24" fillId="0" borderId="1" xfId="0" applyNumberFormat="1" applyFont="1" applyBorder="1"/>
    <xf numFmtId="2" fontId="24" fillId="4" borderId="1" xfId="0" applyNumberFormat="1" applyFont="1" applyFill="1" applyBorder="1"/>
    <xf numFmtId="2" fontId="24" fillId="5" borderId="1" xfId="0" applyNumberFormat="1" applyFont="1" applyFill="1" applyBorder="1"/>
    <xf numFmtId="2" fontId="24" fillId="5" borderId="14" xfId="0" applyNumberFormat="1" applyFont="1" applyFill="1" applyBorder="1"/>
    <xf numFmtId="2" fontId="24" fillId="0" borderId="0" xfId="0" applyNumberFormat="1" applyFont="1"/>
    <xf numFmtId="2" fontId="24" fillId="4" borderId="0" xfId="0" applyNumberFormat="1" applyFont="1" applyFill="1"/>
    <xf numFmtId="2" fontId="24" fillId="5" borderId="0" xfId="0" applyNumberFormat="1" applyFont="1" applyFill="1"/>
    <xf numFmtId="2" fontId="24" fillId="0" borderId="6" xfId="0" applyNumberFormat="1" applyFont="1" applyBorder="1"/>
    <xf numFmtId="2" fontId="24" fillId="4" borderId="6" xfId="0" applyNumberFormat="1" applyFont="1" applyFill="1" applyBorder="1"/>
    <xf numFmtId="2" fontId="24" fillId="5" borderId="6" xfId="0" applyNumberFormat="1" applyFont="1" applyFill="1" applyBorder="1"/>
    <xf numFmtId="2" fontId="24" fillId="5" borderId="18" xfId="0" applyNumberFormat="1" applyFont="1" applyFill="1" applyBorder="1"/>
    <xf numFmtId="2" fontId="25" fillId="0" borderId="13" xfId="0" applyNumberFormat="1" applyFont="1" applyBorder="1"/>
    <xf numFmtId="2" fontId="26" fillId="0" borderId="1" xfId="0" applyNumberFormat="1" applyFont="1" applyBorder="1"/>
    <xf numFmtId="2" fontId="26" fillId="4" borderId="1" xfId="0" applyNumberFormat="1" applyFont="1" applyFill="1" applyBorder="1"/>
    <xf numFmtId="2" fontId="26" fillId="5" borderId="1" xfId="0" applyNumberFormat="1" applyFont="1" applyFill="1" applyBorder="1"/>
    <xf numFmtId="2" fontId="26" fillId="5" borderId="14" xfId="0" applyNumberFormat="1" applyFont="1" applyFill="1" applyBorder="1"/>
    <xf numFmtId="2" fontId="26" fillId="0" borderId="0" xfId="0" applyNumberFormat="1" applyFont="1"/>
    <xf numFmtId="2" fontId="26" fillId="4" borderId="0" xfId="0" applyNumberFormat="1" applyFont="1" applyFill="1"/>
    <xf numFmtId="2" fontId="26" fillId="5" borderId="0" xfId="0" applyNumberFormat="1" applyFont="1" applyFill="1"/>
    <xf numFmtId="10" fontId="27" fillId="0" borderId="0" xfId="0" applyNumberFormat="1" applyFont="1" applyFill="1"/>
    <xf numFmtId="2" fontId="24" fillId="0" borderId="0" xfId="0" applyNumberFormat="1" applyFont="1" applyFill="1"/>
    <xf numFmtId="10" fontId="28" fillId="0" borderId="0" xfId="0" applyNumberFormat="1" applyFont="1" applyFill="1"/>
    <xf numFmtId="10" fontId="29" fillId="0" borderId="0" xfId="0" applyNumberFormat="1" applyFont="1" applyFill="1"/>
    <xf numFmtId="2" fontId="23" fillId="0" borderId="0" xfId="0" applyNumberFormat="1" applyFont="1" applyFill="1"/>
    <xf numFmtId="2" fontId="15" fillId="0" borderId="0" xfId="0" applyNumberFormat="1" applyFont="1" applyFill="1"/>
    <xf numFmtId="10" fontId="30" fillId="0" borderId="0" xfId="0" applyNumberFormat="1" applyFont="1" applyFill="1"/>
    <xf numFmtId="10" fontId="15" fillId="0" borderId="0" xfId="0" applyNumberFormat="1" applyFont="1" applyFill="1"/>
    <xf numFmtId="10" fontId="3" fillId="0" borderId="0" xfId="0" applyNumberFormat="1" applyFont="1" applyFill="1"/>
    <xf numFmtId="2" fontId="17" fillId="0" borderId="0" xfId="0" applyNumberFormat="1" applyFont="1" applyFill="1"/>
    <xf numFmtId="1" fontId="1" fillId="0" borderId="1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6" borderId="0" xfId="0" applyFill="1"/>
    <xf numFmtId="2" fontId="17" fillId="6" borderId="1" xfId="0" applyNumberFormat="1" applyFont="1" applyFill="1" applyBorder="1"/>
    <xf numFmtId="2" fontId="1" fillId="6" borderId="1" xfId="0" applyNumberFormat="1" applyFont="1" applyFill="1" applyBorder="1"/>
    <xf numFmtId="2" fontId="15" fillId="6" borderId="1" xfId="0" applyNumberFormat="1" applyFont="1" applyFill="1" applyBorder="1"/>
    <xf numFmtId="2" fontId="17" fillId="6" borderId="16" xfId="0" applyNumberFormat="1" applyFont="1" applyFill="1" applyBorder="1" applyAlignment="1">
      <alignment horizontal="center"/>
    </xf>
    <xf numFmtId="2" fontId="26" fillId="6" borderId="1" xfId="0" applyNumberFormat="1" applyFont="1" applyFill="1" applyBorder="1"/>
    <xf numFmtId="2" fontId="23" fillId="6" borderId="1" xfId="0" applyNumberFormat="1" applyFont="1" applyFill="1" applyBorder="1"/>
    <xf numFmtId="2" fontId="24" fillId="6" borderId="1" xfId="0" applyNumberFormat="1" applyFont="1" applyFill="1" applyBorder="1"/>
    <xf numFmtId="2" fontId="24" fillId="6" borderId="6" xfId="0" applyNumberFormat="1" applyFont="1" applyFill="1" applyBorder="1"/>
    <xf numFmtId="2" fontId="24" fillId="6" borderId="0" xfId="0" applyNumberFormat="1" applyFont="1" applyFill="1"/>
    <xf numFmtId="2" fontId="20" fillId="6" borderId="0" xfId="0" applyNumberFormat="1" applyFont="1" applyFill="1"/>
    <xf numFmtId="2" fontId="0" fillId="6" borderId="0" xfId="0" applyNumberFormat="1" applyFill="1"/>
    <xf numFmtId="2" fontId="25" fillId="0" borderId="15" xfId="0" applyNumberFormat="1" applyFont="1" applyBorder="1" applyAlignment="1"/>
    <xf numFmtId="2" fontId="31" fillId="4" borderId="0" xfId="0" applyNumberFormat="1" applyFont="1" applyFill="1"/>
    <xf numFmtId="10" fontId="31" fillId="4" borderId="0" xfId="0" applyNumberFormat="1" applyFont="1" applyFill="1"/>
    <xf numFmtId="2" fontId="31" fillId="7" borderId="0" xfId="0" applyNumberFormat="1" applyFont="1" applyFill="1"/>
    <xf numFmtId="10" fontId="31" fillId="7" borderId="0" xfId="0" applyNumberFormat="1" applyFont="1" applyFill="1"/>
    <xf numFmtId="2" fontId="31" fillId="5" borderId="0" xfId="0" applyNumberFormat="1" applyFont="1" applyFill="1"/>
    <xf numFmtId="10" fontId="31" fillId="5" borderId="0" xfId="0" applyNumberFormat="1" applyFont="1" applyFill="1"/>
    <xf numFmtId="0" fontId="31" fillId="0" borderId="0" xfId="0" applyFont="1"/>
    <xf numFmtId="2" fontId="12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/>
    </xf>
    <xf numFmtId="0" fontId="1" fillId="0" borderId="6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1" fillId="0" borderId="22" xfId="0" applyNumberFormat="1" applyFont="1" applyFill="1" applyBorder="1" applyAlignment="1">
      <alignment wrapText="1"/>
    </xf>
    <xf numFmtId="2" fontId="12" fillId="3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1" fillId="0" borderId="25" xfId="0" applyNumberFormat="1" applyFont="1" applyFill="1" applyBorder="1" applyAlignment="1">
      <alignment vertical="top" wrapText="1"/>
    </xf>
    <xf numFmtId="2" fontId="12" fillId="3" borderId="7" xfId="0" applyNumberFormat="1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2" fontId="12" fillId="0" borderId="20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wrapText="1"/>
    </xf>
    <xf numFmtId="0" fontId="1" fillId="0" borderId="14" xfId="0" applyFont="1" applyFill="1" applyBorder="1" applyAlignment="1" applyProtection="1">
      <alignment wrapText="1"/>
    </xf>
    <xf numFmtId="0" fontId="1" fillId="0" borderId="18" xfId="0" applyFont="1" applyFill="1" applyBorder="1" applyAlignment="1" applyProtection="1">
      <alignment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 applyProtection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 applyProtection="1">
      <alignment wrapText="1"/>
    </xf>
    <xf numFmtId="2" fontId="1" fillId="0" borderId="1" xfId="0" applyNumberFormat="1" applyFont="1" applyFill="1" applyBorder="1" applyAlignment="1" applyProtection="1">
      <alignment wrapText="1"/>
    </xf>
    <xf numFmtId="2" fontId="1" fillId="4" borderId="1" xfId="0" applyNumberFormat="1" applyFont="1" applyFill="1" applyBorder="1" applyAlignment="1" applyProtection="1">
      <alignment wrapText="1"/>
    </xf>
    <xf numFmtId="2" fontId="1" fillId="9" borderId="1" xfId="0" applyNumberFormat="1" applyFont="1" applyFill="1" applyBorder="1" applyAlignment="1" applyProtection="1">
      <alignment wrapText="1"/>
    </xf>
    <xf numFmtId="2" fontId="1" fillId="10" borderId="1" xfId="0" applyNumberFormat="1" applyFont="1" applyFill="1" applyBorder="1" applyAlignment="1" applyProtection="1">
      <alignment wrapText="1"/>
    </xf>
    <xf numFmtId="2" fontId="1" fillId="11" borderId="1" xfId="0" applyNumberFormat="1" applyFont="1" applyFill="1" applyBorder="1" applyAlignment="1" applyProtection="1">
      <alignment wrapText="1"/>
    </xf>
    <xf numFmtId="2" fontId="1" fillId="2" borderId="1" xfId="0" applyNumberFormat="1" applyFont="1" applyFill="1" applyBorder="1" applyAlignment="1" applyProtection="1">
      <alignment wrapText="1"/>
    </xf>
    <xf numFmtId="0" fontId="1" fillId="11" borderId="0" xfId="0" applyFont="1" applyFill="1" applyBorder="1" applyAlignment="1" applyProtection="1">
      <alignment wrapText="1"/>
    </xf>
    <xf numFmtId="2" fontId="1" fillId="4" borderId="0" xfId="0" applyNumberFormat="1" applyFont="1" applyFill="1" applyBorder="1" applyAlignment="1" applyProtection="1">
      <alignment wrapText="1"/>
    </xf>
    <xf numFmtId="0" fontId="12" fillId="0" borderId="1" xfId="0" applyFont="1" applyBorder="1"/>
    <xf numFmtId="1" fontId="1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/>
    <xf numFmtId="2" fontId="1" fillId="11" borderId="0" xfId="0" applyNumberFormat="1" applyFont="1" applyFill="1" applyBorder="1" applyAlignment="1" applyProtection="1">
      <alignment wrapText="1"/>
    </xf>
    <xf numFmtId="0" fontId="34" fillId="0" borderId="21" xfId="0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2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wrapText="1"/>
    </xf>
    <xf numFmtId="0" fontId="16" fillId="0" borderId="1" xfId="0" applyFont="1" applyBorder="1" applyAlignment="1">
      <alignment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3" fillId="2" borderId="0" xfId="0" applyFont="1" applyFill="1" applyBorder="1"/>
    <xf numFmtId="0" fontId="12" fillId="2" borderId="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7" xfId="0" quotePrefix="1" applyFont="1" applyFill="1" applyBorder="1" applyAlignment="1">
      <alignment horizontal="center" vertical="center" wrapText="1"/>
    </xf>
    <xf numFmtId="0" fontId="1" fillId="2" borderId="33" xfId="0" quotePrefix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wrapText="1"/>
      <protection locked="0"/>
    </xf>
    <xf numFmtId="0" fontId="12" fillId="0" borderId="14" xfId="0" applyFont="1" applyFill="1" applyBorder="1" applyAlignment="1">
      <alignment horizontal="center" vertical="center" wrapText="1"/>
    </xf>
    <xf numFmtId="2" fontId="11" fillId="2" borderId="1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wrapText="1"/>
    </xf>
    <xf numFmtId="2" fontId="1" fillId="0" borderId="7" xfId="0" applyNumberFormat="1" applyFont="1" applyFill="1" applyBorder="1" applyAlignment="1" applyProtection="1">
      <alignment wrapText="1"/>
    </xf>
    <xf numFmtId="0" fontId="1" fillId="0" borderId="42" xfId="0" applyFont="1" applyFill="1" applyBorder="1" applyAlignment="1" applyProtection="1">
      <alignment wrapText="1"/>
    </xf>
    <xf numFmtId="0" fontId="1" fillId="0" borderId="43" xfId="0" applyFont="1" applyFill="1" applyBorder="1" applyAlignment="1" applyProtection="1">
      <alignment wrapText="1"/>
    </xf>
    <xf numFmtId="0" fontId="1" fillId="0" borderId="44" xfId="0" applyFont="1" applyFill="1" applyBorder="1" applyAlignment="1" applyProtection="1">
      <alignment wrapText="1"/>
    </xf>
    <xf numFmtId="2" fontId="1" fillId="4" borderId="14" xfId="0" applyNumberFormat="1" applyFont="1" applyFill="1" applyBorder="1" applyAlignment="1" applyProtection="1">
      <alignment wrapText="1"/>
    </xf>
    <xf numFmtId="2" fontId="1" fillId="0" borderId="14" xfId="0" applyNumberFormat="1" applyFont="1" applyFill="1" applyBorder="1" applyAlignment="1" applyProtection="1">
      <alignment wrapText="1"/>
    </xf>
    <xf numFmtId="0" fontId="1" fillId="0" borderId="45" xfId="0" applyFont="1" applyFill="1" applyBorder="1" applyAlignment="1" applyProtection="1">
      <alignment wrapText="1"/>
    </xf>
    <xf numFmtId="2" fontId="1" fillId="0" borderId="6" xfId="0" applyNumberFormat="1" applyFont="1" applyFill="1" applyBorder="1" applyAlignment="1" applyProtection="1">
      <alignment wrapText="1"/>
    </xf>
    <xf numFmtId="2" fontId="1" fillId="0" borderId="18" xfId="0" applyNumberFormat="1" applyFont="1" applyFill="1" applyBorder="1" applyAlignment="1" applyProtection="1">
      <alignment wrapText="1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38" fillId="0" borderId="0" xfId="0" applyFont="1"/>
    <xf numFmtId="2" fontId="12" fillId="0" borderId="7" xfId="0" applyNumberFormat="1" applyFont="1" applyFill="1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2" fillId="0" borderId="5" xfId="0" applyNumberFormat="1" applyFont="1" applyFill="1" applyBorder="1" applyAlignment="1">
      <alignment horizontal="center" vertical="center" wrapText="1"/>
    </xf>
    <xf numFmtId="2" fontId="12" fillId="0" borderId="26" xfId="0" applyNumberFormat="1" applyFont="1" applyFill="1" applyBorder="1" applyAlignment="1">
      <alignment horizontal="center" vertical="center" wrapText="1"/>
    </xf>
    <xf numFmtId="2" fontId="12" fillId="0" borderId="18" xfId="0" applyNumberFormat="1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center" wrapText="1"/>
    </xf>
    <xf numFmtId="0" fontId="12" fillId="0" borderId="33" xfId="0" applyFont="1" applyFill="1" applyBorder="1" applyAlignment="1">
      <alignment horizontal="center" vertical="top" wrapText="1"/>
    </xf>
    <xf numFmtId="0" fontId="34" fillId="0" borderId="32" xfId="0" applyFont="1" applyFill="1" applyBorder="1" applyAlignment="1">
      <alignment horizont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2" fontId="12" fillId="0" borderId="40" xfId="0" applyNumberFormat="1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2" fontId="12" fillId="0" borderId="28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wrapText="1"/>
    </xf>
    <xf numFmtId="0" fontId="34" fillId="0" borderId="39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wrapText="1"/>
    </xf>
    <xf numFmtId="0" fontId="11" fillId="0" borderId="35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2" fontId="12" fillId="0" borderId="23" xfId="0" applyNumberFormat="1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2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0" fontId="4" fillId="0" borderId="32" xfId="1" applyFont="1" applyFill="1" applyBorder="1" applyAlignment="1" applyProtection="1">
      <alignment horizontal="center" vertical="center" wrapText="1"/>
      <protection locked="0"/>
    </xf>
    <xf numFmtId="0" fontId="4" fillId="0" borderId="16" xfId="1" applyFont="1" applyFill="1" applyBorder="1" applyAlignment="1" applyProtection="1">
      <alignment horizontal="center" vertical="center" wrapText="1"/>
      <protection locked="0"/>
    </xf>
    <xf numFmtId="0" fontId="4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1" xfId="1" applyFont="1" applyFill="1" applyBorder="1" applyAlignment="1" applyProtection="1">
      <alignment horizontal="center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textRotation="90" wrapText="1"/>
      <protection locked="0"/>
    </xf>
    <xf numFmtId="0" fontId="4" fillId="0" borderId="21" xfId="1" applyFont="1" applyFill="1" applyBorder="1" applyAlignment="1" applyProtection="1">
      <alignment horizontal="center" vertical="center" textRotation="90" wrapText="1"/>
      <protection locked="0"/>
    </xf>
    <xf numFmtId="0" fontId="4" fillId="0" borderId="7" xfId="1" applyFont="1" applyFill="1" applyBorder="1" applyAlignment="1" applyProtection="1">
      <alignment horizontal="center" vertical="center" textRotation="90" wrapText="1"/>
      <protection locked="0"/>
    </xf>
    <xf numFmtId="0" fontId="35" fillId="0" borderId="23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textRotation="90" wrapText="1"/>
      <protection locked="0"/>
    </xf>
    <xf numFmtId="0" fontId="1" fillId="0" borderId="23" xfId="0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wrapText="1"/>
      <protection locked="0"/>
    </xf>
    <xf numFmtId="0" fontId="4" fillId="0" borderId="1" xfId="1" applyFont="1" applyFill="1" applyBorder="1" applyAlignment="1" applyProtection="1">
      <alignment horizont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2" fontId="12" fillId="0" borderId="27" xfId="0" applyNumberFormat="1" applyFont="1" applyFill="1" applyBorder="1" applyAlignment="1">
      <alignment horizontal="center" vertical="center" wrapText="1"/>
    </xf>
    <xf numFmtId="2" fontId="12" fillId="0" borderId="34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wrapText="1"/>
    </xf>
    <xf numFmtId="0" fontId="12" fillId="0" borderId="27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top" wrapText="1"/>
    </xf>
    <xf numFmtId="0" fontId="11" fillId="8" borderId="12" xfId="0" applyFont="1" applyFill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/>
    </xf>
    <xf numFmtId="2" fontId="17" fillId="0" borderId="16" xfId="0" applyNumberFormat="1" applyFont="1" applyBorder="1" applyAlignment="1">
      <alignment horizontal="center"/>
    </xf>
    <xf numFmtId="2" fontId="17" fillId="0" borderId="17" xfId="0" applyNumberFormat="1" applyFont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2" fontId="25" fillId="0" borderId="16" xfId="0" applyNumberFormat="1" applyFont="1" applyBorder="1" applyAlignment="1">
      <alignment horizontal="center"/>
    </xf>
    <xf numFmtId="2" fontId="25" fillId="0" borderId="1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2" fontId="17" fillId="4" borderId="5" xfId="0" applyNumberFormat="1" applyFont="1" applyFill="1" applyBorder="1" applyAlignment="1">
      <alignment horizontal="center"/>
    </xf>
    <xf numFmtId="2" fontId="1" fillId="5" borderId="5" xfId="0" applyNumberFormat="1" applyFont="1" applyFill="1" applyBorder="1" applyAlignment="1">
      <alignment horizontal="center"/>
    </xf>
    <xf numFmtId="2" fontId="17" fillId="5" borderId="26" xfId="0" applyNumberFormat="1" applyFont="1" applyFill="1" applyBorder="1" applyAlignment="1">
      <alignment horizontal="center"/>
    </xf>
    <xf numFmtId="2" fontId="17" fillId="6" borderId="31" xfId="0" applyNumberFormat="1" applyFont="1" applyFill="1" applyBorder="1" applyAlignment="1">
      <alignment horizontal="center"/>
    </xf>
    <xf numFmtId="2" fontId="17" fillId="6" borderId="10" xfId="0" applyNumberFormat="1" applyFont="1" applyFill="1" applyBorder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8"/>
  <sheetViews>
    <sheetView tabSelected="1" view="pageBreakPreview" zoomScaleSheetLayoutView="100" zoomScalePageLayoutView="70" workbookViewId="0">
      <pane ySplit="13" topLeftCell="A212" activePane="bottomLeft" state="frozen"/>
      <selection pane="bottomLeft" activeCell="A8" sqref="A8"/>
    </sheetView>
  </sheetViews>
  <sheetFormatPr defaultColWidth="22.28515625" defaultRowHeight="12.75"/>
  <cols>
    <col min="1" max="1" width="3.28515625" style="12" customWidth="1"/>
    <col min="2" max="2" width="5.42578125" style="12" customWidth="1"/>
    <col min="3" max="3" width="9" style="1" customWidth="1"/>
    <col min="4" max="4" width="5.7109375" style="1" customWidth="1"/>
    <col min="5" max="5" width="14.28515625" style="13" customWidth="1"/>
    <col min="6" max="6" width="12.5703125" style="12" customWidth="1"/>
    <col min="7" max="7" width="33" style="12" customWidth="1"/>
    <col min="8" max="8" width="13" style="12" customWidth="1"/>
    <col min="9" max="9" width="6.7109375" style="12" customWidth="1"/>
    <col min="10" max="10" width="7.5703125" style="1" customWidth="1"/>
    <col min="11" max="11" width="7.85546875" style="7" customWidth="1"/>
    <col min="12" max="12" width="5.85546875" style="4" customWidth="1"/>
    <col min="13" max="13" width="4.7109375" style="1" customWidth="1"/>
    <col min="14" max="14" width="5.28515625" style="1" customWidth="1"/>
    <col min="15" max="15" width="5.42578125" style="7" customWidth="1"/>
    <col min="16" max="16" width="5.42578125" style="1" customWidth="1"/>
    <col min="17" max="17" width="5.5703125" style="1" customWidth="1"/>
    <col min="18" max="18" width="15.140625" style="1" customWidth="1"/>
    <col min="19" max="19" width="6.140625" style="1" customWidth="1"/>
    <col min="20" max="20" width="7.85546875" style="1" customWidth="1"/>
    <col min="21" max="21" width="7.42578125" style="2" customWidth="1"/>
    <col min="22" max="22" width="8.5703125" style="207" customWidth="1"/>
    <col min="23" max="23" width="8.85546875" style="2" customWidth="1"/>
    <col min="24" max="24" width="3.7109375" style="2" bestFit="1" customWidth="1"/>
    <col min="25" max="25" width="3.85546875" style="2" customWidth="1"/>
    <col min="26" max="26" width="4.42578125" style="2" bestFit="1" customWidth="1"/>
    <col min="27" max="27" width="5.7109375" style="2" customWidth="1"/>
    <col min="28" max="28" width="4.5703125" style="2" customWidth="1"/>
    <col min="29" max="29" width="5.28515625" style="2" customWidth="1"/>
    <col min="30" max="30" width="5.7109375" style="2" bestFit="1" customWidth="1"/>
    <col min="31" max="31" width="4.85546875" style="2" customWidth="1"/>
    <col min="32" max="32" width="4.42578125" style="2" bestFit="1" customWidth="1"/>
    <col min="33" max="16384" width="22.28515625" style="2"/>
  </cols>
  <sheetData>
    <row r="1" spans="1:32" ht="15.75" hidden="1">
      <c r="A1" s="402" t="s">
        <v>237</v>
      </c>
      <c r="B1" s="402"/>
      <c r="C1" s="402"/>
      <c r="D1" s="402"/>
      <c r="E1" s="402"/>
      <c r="F1" s="402"/>
      <c r="G1" s="402"/>
      <c r="H1" s="3"/>
      <c r="I1" s="3"/>
      <c r="M1" s="37"/>
      <c r="P1" s="37"/>
    </row>
    <row r="2" spans="1:32" ht="15.75" hidden="1">
      <c r="A2" s="402" t="s">
        <v>238</v>
      </c>
      <c r="B2" s="402"/>
      <c r="C2" s="402"/>
      <c r="D2" s="402"/>
      <c r="E2" s="402"/>
      <c r="F2" s="402"/>
      <c r="G2" s="402"/>
      <c r="H2" s="3"/>
      <c r="I2" s="3"/>
      <c r="M2" s="37"/>
      <c r="P2" s="37"/>
    </row>
    <row r="3" spans="1:32" ht="15.75" hidden="1">
      <c r="A3" s="402" t="s">
        <v>156</v>
      </c>
      <c r="B3" s="402"/>
      <c r="C3" s="402"/>
      <c r="D3" s="402"/>
      <c r="E3" s="402"/>
      <c r="F3" s="402"/>
      <c r="G3" s="402"/>
      <c r="H3" s="3"/>
      <c r="I3" s="3"/>
      <c r="M3" s="37"/>
      <c r="P3" s="37"/>
    </row>
    <row r="4" spans="1:32" hidden="1">
      <c r="A4" s="406"/>
      <c r="B4" s="406"/>
      <c r="C4" s="406"/>
      <c r="D4" s="406"/>
      <c r="E4" s="406"/>
      <c r="F4" s="406"/>
      <c r="G4" s="406"/>
      <c r="H4" s="3"/>
      <c r="I4" s="3"/>
      <c r="M4" s="37"/>
      <c r="P4" s="37"/>
    </row>
    <row r="5" spans="1:32" ht="15.75" hidden="1">
      <c r="A5" s="407" t="s">
        <v>26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</row>
    <row r="6" spans="1:32" ht="15.75" hidden="1">
      <c r="A6" s="407" t="s">
        <v>239</v>
      </c>
      <c r="B6" s="407"/>
      <c r="C6" s="407"/>
      <c r="D6" s="407"/>
      <c r="E6" s="407"/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</row>
    <row r="7" spans="1:32" ht="20.25">
      <c r="A7" s="359" t="s">
        <v>290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</row>
    <row r="8" spans="1:32" ht="15.75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</row>
    <row r="9" spans="1:3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32" s="10" customFormat="1" ht="12" customHeight="1">
      <c r="A10" s="403" t="s">
        <v>21</v>
      </c>
      <c r="B10" s="421" t="s">
        <v>0</v>
      </c>
      <c r="C10" s="403" t="s">
        <v>1</v>
      </c>
      <c r="D10" s="415" t="s">
        <v>22</v>
      </c>
      <c r="E10" s="403" t="s">
        <v>2</v>
      </c>
      <c r="F10" s="403" t="s">
        <v>3</v>
      </c>
      <c r="G10" s="405" t="s">
        <v>4</v>
      </c>
      <c r="H10" s="403" t="s">
        <v>241</v>
      </c>
      <c r="I10" s="5" t="s">
        <v>32</v>
      </c>
      <c r="J10" s="403" t="s">
        <v>244</v>
      </c>
      <c r="K10" s="408" t="s">
        <v>28</v>
      </c>
      <c r="L10" s="409"/>
      <c r="M10" s="409"/>
      <c r="N10" s="409"/>
      <c r="O10" s="409"/>
      <c r="P10" s="409"/>
      <c r="Q10" s="410"/>
      <c r="R10" s="105"/>
      <c r="S10" s="105"/>
      <c r="T10" s="105"/>
      <c r="U10" s="411" t="s">
        <v>42</v>
      </c>
      <c r="V10" s="411" t="s">
        <v>36</v>
      </c>
      <c r="W10" s="424" t="s">
        <v>43</v>
      </c>
    </row>
    <row r="11" spans="1:32" s="10" customFormat="1" ht="24" customHeight="1">
      <c r="A11" s="403"/>
      <c r="B11" s="421"/>
      <c r="C11" s="403"/>
      <c r="D11" s="416"/>
      <c r="E11" s="403"/>
      <c r="F11" s="403"/>
      <c r="G11" s="405"/>
      <c r="H11" s="403"/>
      <c r="I11" s="403" t="s">
        <v>242</v>
      </c>
      <c r="J11" s="403"/>
      <c r="K11" s="404" t="s">
        <v>27</v>
      </c>
      <c r="L11" s="403" t="s">
        <v>6</v>
      </c>
      <c r="M11" s="403"/>
      <c r="N11" s="403"/>
      <c r="O11" s="403"/>
      <c r="P11" s="403"/>
      <c r="Q11" s="403"/>
      <c r="R11" s="403" t="s">
        <v>33</v>
      </c>
      <c r="S11" s="403"/>
      <c r="T11" s="403" t="s">
        <v>35</v>
      </c>
      <c r="U11" s="412"/>
      <c r="V11" s="412"/>
      <c r="W11" s="424"/>
    </row>
    <row r="12" spans="1:32" s="10" customFormat="1" ht="12" customHeight="1">
      <c r="A12" s="403"/>
      <c r="B12" s="421"/>
      <c r="C12" s="403"/>
      <c r="D12" s="416"/>
      <c r="E12" s="403"/>
      <c r="F12" s="403"/>
      <c r="G12" s="405"/>
      <c r="H12" s="403"/>
      <c r="I12" s="403"/>
      <c r="J12" s="403"/>
      <c r="K12" s="404"/>
      <c r="L12" s="403" t="s">
        <v>7</v>
      </c>
      <c r="M12" s="403"/>
      <c r="N12" s="403"/>
      <c r="O12" s="403" t="s">
        <v>29</v>
      </c>
      <c r="P12" s="403"/>
      <c r="Q12" s="403"/>
      <c r="R12" s="403" t="s">
        <v>34</v>
      </c>
      <c r="S12" s="403" t="s">
        <v>243</v>
      </c>
      <c r="T12" s="414"/>
      <c r="U12" s="412"/>
      <c r="V12" s="412"/>
      <c r="W12" s="424"/>
      <c r="AD12" s="433" t="s">
        <v>262</v>
      </c>
      <c r="AE12" s="433"/>
      <c r="AF12" s="433"/>
    </row>
    <row r="13" spans="1:32" s="10" customFormat="1" ht="24" customHeight="1">
      <c r="A13" s="403"/>
      <c r="B13" s="421"/>
      <c r="C13" s="403"/>
      <c r="D13" s="417"/>
      <c r="E13" s="403"/>
      <c r="F13" s="403"/>
      <c r="G13" s="405"/>
      <c r="H13" s="403"/>
      <c r="I13" s="5"/>
      <c r="J13" s="403"/>
      <c r="K13" s="404"/>
      <c r="L13" s="5" t="s">
        <v>8</v>
      </c>
      <c r="M13" s="38" t="s">
        <v>9</v>
      </c>
      <c r="N13" s="8" t="s">
        <v>10</v>
      </c>
      <c r="O13" s="6" t="s">
        <v>8</v>
      </c>
      <c r="P13" s="38" t="s">
        <v>9</v>
      </c>
      <c r="Q13" s="8" t="s">
        <v>10</v>
      </c>
      <c r="R13" s="414"/>
      <c r="S13" s="414"/>
      <c r="T13" s="414"/>
      <c r="U13" s="413"/>
      <c r="V13" s="413"/>
      <c r="W13" s="424"/>
      <c r="X13" s="10" t="s">
        <v>55</v>
      </c>
      <c r="Y13" s="10" t="s">
        <v>49</v>
      </c>
      <c r="Z13" s="10" t="s">
        <v>61</v>
      </c>
      <c r="AA13" s="10" t="s">
        <v>55</v>
      </c>
      <c r="AB13" s="10" t="s">
        <v>49</v>
      </c>
      <c r="AC13" s="10" t="s">
        <v>61</v>
      </c>
      <c r="AD13" s="10" t="s">
        <v>55</v>
      </c>
      <c r="AE13" s="10" t="s">
        <v>49</v>
      </c>
      <c r="AF13" s="10" t="s">
        <v>61</v>
      </c>
    </row>
    <row r="14" spans="1:32" s="11" customFormat="1" ht="13.5" customHeight="1" thickBot="1">
      <c r="A14" s="44"/>
      <c r="B14" s="44">
        <v>1</v>
      </c>
      <c r="C14" s="45">
        <v>2</v>
      </c>
      <c r="D14" s="45"/>
      <c r="E14" s="46">
        <v>4</v>
      </c>
      <c r="F14" s="45">
        <v>6</v>
      </c>
      <c r="G14" s="60">
        <v>7</v>
      </c>
      <c r="H14" s="44">
        <v>8</v>
      </c>
      <c r="I14" s="44">
        <v>9</v>
      </c>
      <c r="J14" s="44">
        <v>10</v>
      </c>
      <c r="K14" s="47">
        <v>11</v>
      </c>
      <c r="L14" s="45">
        <v>12</v>
      </c>
      <c r="M14" s="48">
        <v>13</v>
      </c>
      <c r="N14" s="44">
        <v>14</v>
      </c>
      <c r="O14" s="47">
        <v>15</v>
      </c>
      <c r="P14" s="48">
        <v>16</v>
      </c>
      <c r="Q14" s="44">
        <v>17</v>
      </c>
      <c r="R14" s="44">
        <v>18</v>
      </c>
      <c r="S14" s="44">
        <v>19</v>
      </c>
      <c r="T14" s="44">
        <v>20</v>
      </c>
      <c r="U14" s="104"/>
      <c r="V14" s="208">
        <v>22</v>
      </c>
      <c r="W14" s="348">
        <v>23</v>
      </c>
    </row>
    <row r="15" spans="1:32" ht="12.75" customHeight="1">
      <c r="A15" s="391">
        <v>1</v>
      </c>
      <c r="B15" s="367" t="s">
        <v>155</v>
      </c>
      <c r="C15" s="387" t="s">
        <v>288</v>
      </c>
      <c r="D15" s="367" t="s">
        <v>155</v>
      </c>
      <c r="E15" s="418" t="s">
        <v>240</v>
      </c>
      <c r="F15" s="367" t="s">
        <v>15</v>
      </c>
      <c r="G15" s="422"/>
      <c r="H15" s="376"/>
      <c r="I15" s="375"/>
      <c r="J15" s="127">
        <v>16</v>
      </c>
      <c r="K15" s="131">
        <f>SUM(K17:K24)</f>
        <v>12</v>
      </c>
      <c r="L15" s="364">
        <f>SUM(L17:L24)</f>
        <v>7</v>
      </c>
      <c r="M15" s="364">
        <f t="shared" ref="M15:N15" si="0">SUM(M17:M24)</f>
        <v>2</v>
      </c>
      <c r="N15" s="364">
        <f t="shared" si="0"/>
        <v>5</v>
      </c>
      <c r="O15" s="364">
        <f>SUM(O17:O24)</f>
        <v>5</v>
      </c>
      <c r="P15" s="364">
        <f t="shared" ref="P15:Q15" si="1">SUM(P17:P24)</f>
        <v>4</v>
      </c>
      <c r="Q15" s="365">
        <f t="shared" si="1"/>
        <v>6</v>
      </c>
      <c r="R15" s="128">
        <f>J15-K15</f>
        <v>4</v>
      </c>
      <c r="S15" s="276">
        <f>S16/28</f>
        <v>4</v>
      </c>
      <c r="T15" s="277"/>
      <c r="U15" s="391"/>
      <c r="V15" s="209"/>
      <c r="W15" s="106"/>
      <c r="X15" s="350"/>
      <c r="Y15" s="350"/>
      <c r="Z15" s="350"/>
      <c r="AA15" s="350"/>
      <c r="AB15" s="350"/>
      <c r="AC15" s="350"/>
      <c r="AD15" s="350"/>
      <c r="AE15" s="350"/>
      <c r="AF15" s="351"/>
    </row>
    <row r="16" spans="1:32" ht="13.5" customHeight="1" thickBot="1">
      <c r="A16" s="392"/>
      <c r="B16" s="368"/>
      <c r="C16" s="383"/>
      <c r="D16" s="368"/>
      <c r="E16" s="419"/>
      <c r="F16" s="368"/>
      <c r="G16" s="423"/>
      <c r="H16" s="371"/>
      <c r="I16" s="373"/>
      <c r="J16" s="129">
        <v>448</v>
      </c>
      <c r="K16" s="132">
        <f>K15*28</f>
        <v>336</v>
      </c>
      <c r="L16" s="361"/>
      <c r="M16" s="361"/>
      <c r="N16" s="361"/>
      <c r="O16" s="361"/>
      <c r="P16" s="361"/>
      <c r="Q16" s="366"/>
      <c r="R16" s="126">
        <f>J16-K16</f>
        <v>112</v>
      </c>
      <c r="S16" s="248">
        <f>SUM(S17:S24)</f>
        <v>112</v>
      </c>
      <c r="T16" s="343"/>
      <c r="U16" s="425"/>
      <c r="V16" s="77"/>
      <c r="W16" s="49"/>
      <c r="AF16" s="352"/>
    </row>
    <row r="17" spans="1:32" ht="25.5" customHeight="1">
      <c r="A17" s="392"/>
      <c r="B17" s="368"/>
      <c r="C17" s="383"/>
      <c r="D17" s="368"/>
      <c r="E17" s="419"/>
      <c r="F17" s="368"/>
      <c r="G17" s="285" t="s">
        <v>57</v>
      </c>
      <c r="H17" s="240" t="s">
        <v>47</v>
      </c>
      <c r="I17" s="29"/>
      <c r="J17" s="286" t="s">
        <v>247</v>
      </c>
      <c r="K17" s="287">
        <f>L17+O17</f>
        <v>3</v>
      </c>
      <c r="L17" s="287">
        <f t="shared" ref="L17:L24" si="2">IF(I17="m",(M17+N17)*2.5*V17/28,(M17+N17)*2*V17/28)</f>
        <v>3</v>
      </c>
      <c r="M17" s="288"/>
      <c r="N17" s="288">
        <v>3</v>
      </c>
      <c r="O17" s="287">
        <f>IF(I17="m",(P17+Q17)*1.5*V17/28,(P17+Q17)*1*V17/28)</f>
        <v>0</v>
      </c>
      <c r="P17" s="288"/>
      <c r="Q17" s="288"/>
      <c r="R17" s="25" t="s">
        <v>38</v>
      </c>
      <c r="S17" s="25">
        <v>30</v>
      </c>
      <c r="T17" s="344"/>
      <c r="U17" s="425"/>
      <c r="V17" s="77">
        <v>14</v>
      </c>
      <c r="W17" s="49"/>
      <c r="X17" s="2">
        <f>IF(ISNUMBER(SEARCH("Aut",H17)),K17, 0)</f>
        <v>3</v>
      </c>
      <c r="Y17" s="2">
        <f>IF(ISNUMBER(SEARCH("Tst",H17)),K17, 0)</f>
        <v>3</v>
      </c>
      <c r="Z17" s="2">
        <f>IF(ISNUMBER(SEARCH("Calc",H17)),K17, 0)</f>
        <v>3</v>
      </c>
      <c r="AA17" s="2">
        <f>SUM(X17:X24)</f>
        <v>7.5</v>
      </c>
      <c r="AB17" s="2">
        <f>SUM(Y17:Y24)</f>
        <v>7.5</v>
      </c>
      <c r="AC17" s="2">
        <f>SUM(Z17:Z24)</f>
        <v>5</v>
      </c>
      <c r="AD17" s="264">
        <f>AA17/12</f>
        <v>0.625</v>
      </c>
      <c r="AE17" s="264">
        <f>AB17/12</f>
        <v>0.625</v>
      </c>
      <c r="AF17" s="353">
        <f>AC17/12</f>
        <v>0.41666666666666669</v>
      </c>
    </row>
    <row r="18" spans="1:32" ht="25.5" customHeight="1">
      <c r="A18" s="392"/>
      <c r="B18" s="368"/>
      <c r="C18" s="383"/>
      <c r="D18" s="368"/>
      <c r="E18" s="419"/>
      <c r="F18" s="368"/>
      <c r="G18" s="285" t="s">
        <v>58</v>
      </c>
      <c r="H18" s="240" t="s">
        <v>47</v>
      </c>
      <c r="I18" s="29"/>
      <c r="J18" s="240" t="s">
        <v>209</v>
      </c>
      <c r="K18" s="287">
        <f t="shared" ref="K18:K24" si="3">L18+O18</f>
        <v>2</v>
      </c>
      <c r="L18" s="287">
        <f t="shared" si="2"/>
        <v>2</v>
      </c>
      <c r="M18" s="29"/>
      <c r="N18" s="29">
        <v>2</v>
      </c>
      <c r="O18" s="287">
        <f t="shared" ref="O18:O24" si="4">IF(I18="m",(P18+Q18)*1.5*V18/28,(P18+Q18)*1*V18/28)</f>
        <v>0</v>
      </c>
      <c r="P18" s="29"/>
      <c r="Q18" s="29"/>
      <c r="R18" s="25" t="s">
        <v>39</v>
      </c>
      <c r="S18" s="25">
        <v>15</v>
      </c>
      <c r="T18" s="344"/>
      <c r="U18" s="425"/>
      <c r="V18" s="77">
        <v>14</v>
      </c>
      <c r="W18" s="49"/>
      <c r="X18" s="2">
        <f t="shared" ref="X18:X24" si="5">IF(ISNUMBER(SEARCH("Aut",H18)),K18, 0)</f>
        <v>2</v>
      </c>
      <c r="Y18" s="2">
        <f t="shared" ref="Y18:Y24" si="6">IF(ISNUMBER(SEARCH("Tst",H18)),K18, 0)</f>
        <v>2</v>
      </c>
      <c r="Z18" s="2">
        <f t="shared" ref="Z18:Z35" si="7">IF(ISNUMBER(SEARCH("Calc",H18)),K18, 0)</f>
        <v>2</v>
      </c>
      <c r="AD18" s="263"/>
      <c r="AE18" s="263"/>
      <c r="AF18" s="354"/>
    </row>
    <row r="19" spans="1:32" ht="25.5" customHeight="1">
      <c r="A19" s="392"/>
      <c r="B19" s="368"/>
      <c r="C19" s="383"/>
      <c r="D19" s="368"/>
      <c r="E19" s="419"/>
      <c r="F19" s="368"/>
      <c r="G19" s="289" t="s">
        <v>58</v>
      </c>
      <c r="H19" s="286" t="s">
        <v>60</v>
      </c>
      <c r="I19" s="29"/>
      <c r="J19" s="286" t="s">
        <v>62</v>
      </c>
      <c r="K19" s="287">
        <f t="shared" si="3"/>
        <v>2</v>
      </c>
      <c r="L19" s="287">
        <f t="shared" si="2"/>
        <v>2</v>
      </c>
      <c r="M19" s="29">
        <v>2</v>
      </c>
      <c r="N19" s="29"/>
      <c r="O19" s="287">
        <f t="shared" si="4"/>
        <v>0</v>
      </c>
      <c r="P19" s="29"/>
      <c r="Q19" s="29"/>
      <c r="R19" s="25" t="s">
        <v>40</v>
      </c>
      <c r="S19" s="25">
        <v>25</v>
      </c>
      <c r="T19" s="344"/>
      <c r="U19" s="425"/>
      <c r="V19" s="77">
        <v>14</v>
      </c>
      <c r="W19" s="49"/>
      <c r="X19" s="2">
        <f t="shared" si="5"/>
        <v>0</v>
      </c>
      <c r="Y19" s="2">
        <f t="shared" si="6"/>
        <v>0</v>
      </c>
      <c r="Z19" s="2">
        <f t="shared" si="7"/>
        <v>0</v>
      </c>
      <c r="AD19" s="263"/>
      <c r="AE19" s="263"/>
      <c r="AF19" s="354"/>
    </row>
    <row r="20" spans="1:32" ht="25.5" customHeight="1">
      <c r="A20" s="392"/>
      <c r="B20" s="368"/>
      <c r="C20" s="383"/>
      <c r="D20" s="368"/>
      <c r="E20" s="419"/>
      <c r="F20" s="368"/>
      <c r="G20" s="285" t="s">
        <v>44</v>
      </c>
      <c r="H20" s="290" t="s">
        <v>49</v>
      </c>
      <c r="I20" s="29"/>
      <c r="J20" s="290" t="s">
        <v>135</v>
      </c>
      <c r="K20" s="287">
        <f t="shared" si="3"/>
        <v>1</v>
      </c>
      <c r="L20" s="287">
        <f t="shared" si="2"/>
        <v>0</v>
      </c>
      <c r="M20" s="29"/>
      <c r="N20" s="29"/>
      <c r="O20" s="287">
        <f t="shared" si="4"/>
        <v>1</v>
      </c>
      <c r="P20" s="290">
        <v>2</v>
      </c>
      <c r="Q20" s="291"/>
      <c r="R20" s="25" t="s">
        <v>234</v>
      </c>
      <c r="S20" s="25">
        <v>30</v>
      </c>
      <c r="T20" s="344"/>
      <c r="U20" s="425"/>
      <c r="V20" s="77">
        <v>14</v>
      </c>
      <c r="W20" s="49"/>
      <c r="X20" s="2">
        <f t="shared" si="5"/>
        <v>0</v>
      </c>
      <c r="Y20" s="2">
        <f t="shared" si="6"/>
        <v>1</v>
      </c>
      <c r="Z20" s="2">
        <f t="shared" si="7"/>
        <v>0</v>
      </c>
      <c r="AD20" s="263"/>
      <c r="AE20" s="263"/>
      <c r="AF20" s="354"/>
    </row>
    <row r="21" spans="1:32" ht="25.5" customHeight="1">
      <c r="A21" s="392"/>
      <c r="B21" s="368"/>
      <c r="C21" s="383"/>
      <c r="D21" s="368"/>
      <c r="E21" s="419"/>
      <c r="F21" s="368"/>
      <c r="G21" s="285" t="s">
        <v>44</v>
      </c>
      <c r="H21" s="240" t="s">
        <v>49</v>
      </c>
      <c r="I21" s="29"/>
      <c r="J21" s="240" t="s">
        <v>63</v>
      </c>
      <c r="K21" s="287">
        <f t="shared" si="3"/>
        <v>0.5</v>
      </c>
      <c r="L21" s="287">
        <f t="shared" si="2"/>
        <v>0</v>
      </c>
      <c r="M21" s="29"/>
      <c r="N21" s="29"/>
      <c r="O21" s="287">
        <f t="shared" si="4"/>
        <v>0.5</v>
      </c>
      <c r="P21" s="29">
        <v>1</v>
      </c>
      <c r="Q21" s="29"/>
      <c r="R21" s="25" t="s">
        <v>233</v>
      </c>
      <c r="S21" s="16">
        <v>12</v>
      </c>
      <c r="T21" s="344"/>
      <c r="U21" s="425"/>
      <c r="V21" s="77">
        <v>14</v>
      </c>
      <c r="W21" s="49"/>
      <c r="X21" s="2">
        <f t="shared" si="5"/>
        <v>0</v>
      </c>
      <c r="Y21" s="2">
        <f t="shared" si="6"/>
        <v>0.5</v>
      </c>
      <c r="Z21" s="2">
        <f t="shared" si="7"/>
        <v>0</v>
      </c>
      <c r="AD21" s="263"/>
      <c r="AE21" s="263"/>
      <c r="AF21" s="354"/>
    </row>
    <row r="22" spans="1:32" ht="12.75" customHeight="1">
      <c r="A22" s="392"/>
      <c r="B22" s="368"/>
      <c r="C22" s="383"/>
      <c r="D22" s="368"/>
      <c r="E22" s="419"/>
      <c r="F22" s="368"/>
      <c r="G22" s="285" t="s">
        <v>57</v>
      </c>
      <c r="H22" s="290" t="s">
        <v>49</v>
      </c>
      <c r="I22" s="29"/>
      <c r="J22" s="290" t="s">
        <v>135</v>
      </c>
      <c r="K22" s="287">
        <f t="shared" si="3"/>
        <v>1</v>
      </c>
      <c r="L22" s="287">
        <f t="shared" si="2"/>
        <v>0</v>
      </c>
      <c r="M22" s="290"/>
      <c r="N22" s="290"/>
      <c r="O22" s="287">
        <f t="shared" si="4"/>
        <v>1</v>
      </c>
      <c r="P22" s="290"/>
      <c r="Q22" s="290">
        <v>2</v>
      </c>
      <c r="R22" s="279"/>
      <c r="S22" s="16"/>
      <c r="T22" s="344"/>
      <c r="U22" s="425"/>
      <c r="V22" s="77">
        <v>14</v>
      </c>
      <c r="W22" s="49"/>
      <c r="X22" s="2">
        <f t="shared" ref="X22" si="8">IF(ISNUMBER(SEARCH("Aut",H22)),K22, 0)</f>
        <v>0</v>
      </c>
      <c r="Y22" s="2">
        <f t="shared" ref="Y22" si="9">IF(ISNUMBER(SEARCH("Tst",H22)),K22, 0)</f>
        <v>1</v>
      </c>
      <c r="Z22" s="2">
        <f t="shared" ref="Z22" si="10">IF(ISNUMBER(SEARCH("Calc",H22)),K22, 0)</f>
        <v>0</v>
      </c>
      <c r="AD22" s="263"/>
      <c r="AE22" s="263"/>
      <c r="AF22" s="354"/>
    </row>
    <row r="23" spans="1:32" ht="25.5" customHeight="1">
      <c r="A23" s="392"/>
      <c r="B23" s="368"/>
      <c r="C23" s="383"/>
      <c r="D23" s="368"/>
      <c r="E23" s="419"/>
      <c r="F23" s="368"/>
      <c r="G23" s="285" t="s">
        <v>44</v>
      </c>
      <c r="H23" s="240" t="s">
        <v>55</v>
      </c>
      <c r="I23" s="29"/>
      <c r="J23" s="240" t="s">
        <v>63</v>
      </c>
      <c r="K23" s="287">
        <f t="shared" si="3"/>
        <v>0.5</v>
      </c>
      <c r="L23" s="287">
        <f t="shared" si="2"/>
        <v>0</v>
      </c>
      <c r="M23" s="29"/>
      <c r="N23" s="29"/>
      <c r="O23" s="287">
        <f t="shared" si="4"/>
        <v>0.5</v>
      </c>
      <c r="P23" s="29">
        <v>1</v>
      </c>
      <c r="Q23" s="29"/>
      <c r="R23" s="25"/>
      <c r="S23" s="25"/>
      <c r="T23" s="344"/>
      <c r="U23" s="425"/>
      <c r="V23" s="77">
        <v>14</v>
      </c>
      <c r="W23" s="49"/>
      <c r="X23" s="2">
        <f t="shared" si="5"/>
        <v>0.5</v>
      </c>
      <c r="Y23" s="2">
        <f t="shared" si="6"/>
        <v>0</v>
      </c>
      <c r="Z23" s="2">
        <f t="shared" si="7"/>
        <v>0</v>
      </c>
      <c r="AD23" s="263"/>
      <c r="AE23" s="263"/>
      <c r="AF23" s="354"/>
    </row>
    <row r="24" spans="1:32" ht="13.5" customHeight="1" thickBot="1">
      <c r="A24" s="393"/>
      <c r="B24" s="380"/>
      <c r="C24" s="394"/>
      <c r="D24" s="380"/>
      <c r="E24" s="420"/>
      <c r="F24" s="380"/>
      <c r="G24" s="293" t="s">
        <v>57</v>
      </c>
      <c r="H24" s="294" t="s">
        <v>55</v>
      </c>
      <c r="I24" s="295"/>
      <c r="J24" s="294" t="s">
        <v>19</v>
      </c>
      <c r="K24" s="345">
        <f t="shared" si="3"/>
        <v>2</v>
      </c>
      <c r="L24" s="345">
        <f t="shared" si="2"/>
        <v>0</v>
      </c>
      <c r="M24" s="294"/>
      <c r="N24" s="294"/>
      <c r="O24" s="345">
        <f t="shared" si="4"/>
        <v>2</v>
      </c>
      <c r="P24" s="346"/>
      <c r="Q24" s="346">
        <v>4</v>
      </c>
      <c r="R24" s="110"/>
      <c r="S24" s="110"/>
      <c r="T24" s="347"/>
      <c r="U24" s="426"/>
      <c r="V24" s="210">
        <v>14</v>
      </c>
      <c r="W24" s="107"/>
      <c r="X24" s="355">
        <f t="shared" si="5"/>
        <v>2</v>
      </c>
      <c r="Y24" s="355">
        <f t="shared" si="6"/>
        <v>0</v>
      </c>
      <c r="Z24" s="355">
        <f t="shared" si="7"/>
        <v>0</v>
      </c>
      <c r="AA24" s="355"/>
      <c r="AB24" s="355"/>
      <c r="AC24" s="355"/>
      <c r="AD24" s="356"/>
      <c r="AE24" s="356"/>
      <c r="AF24" s="357"/>
    </row>
    <row r="25" spans="1:32" ht="12.75" customHeight="1">
      <c r="A25" s="367">
        <v>2</v>
      </c>
      <c r="B25" s="367" t="s">
        <v>31</v>
      </c>
      <c r="C25" s="387"/>
      <c r="D25" s="367" t="s">
        <v>31</v>
      </c>
      <c r="E25" s="367" t="s">
        <v>278</v>
      </c>
      <c r="F25" s="367" t="s">
        <v>15</v>
      </c>
      <c r="G25" s="376"/>
      <c r="H25" s="376"/>
      <c r="I25" s="375"/>
      <c r="J25" s="127">
        <v>16</v>
      </c>
      <c r="K25" s="131">
        <f>SUM(K27:K29)</f>
        <v>8</v>
      </c>
      <c r="L25" s="364">
        <f t="shared" ref="L25:Q25" si="11">SUM(L27:L29)</f>
        <v>8</v>
      </c>
      <c r="M25" s="364">
        <f t="shared" si="11"/>
        <v>5</v>
      </c>
      <c r="N25" s="364">
        <f t="shared" si="11"/>
        <v>3</v>
      </c>
      <c r="O25" s="364">
        <f t="shared" si="11"/>
        <v>0</v>
      </c>
      <c r="P25" s="364">
        <f t="shared" si="11"/>
        <v>0</v>
      </c>
      <c r="Q25" s="365">
        <f t="shared" si="11"/>
        <v>0</v>
      </c>
      <c r="R25" s="128">
        <f>J25-K25</f>
        <v>8</v>
      </c>
      <c r="S25" s="233">
        <f>S26/28</f>
        <v>8</v>
      </c>
      <c r="T25" s="233"/>
      <c r="U25" s="363"/>
      <c r="V25" s="211"/>
      <c r="W25" s="237"/>
      <c r="AD25" s="349"/>
      <c r="AE25" s="349"/>
      <c r="AF25" s="349"/>
    </row>
    <row r="26" spans="1:32" ht="13.5" customHeight="1" thickBot="1">
      <c r="A26" s="368"/>
      <c r="B26" s="368"/>
      <c r="C26" s="383"/>
      <c r="D26" s="368"/>
      <c r="E26" s="368"/>
      <c r="F26" s="381"/>
      <c r="G26" s="370"/>
      <c r="H26" s="371"/>
      <c r="I26" s="373"/>
      <c r="J26" s="129">
        <v>448</v>
      </c>
      <c r="K26" s="132">
        <f>K25*28</f>
        <v>224</v>
      </c>
      <c r="L26" s="361"/>
      <c r="M26" s="361"/>
      <c r="N26" s="361"/>
      <c r="O26" s="361"/>
      <c r="P26" s="361"/>
      <c r="Q26" s="366"/>
      <c r="R26" s="126">
        <f>J26-K26</f>
        <v>224</v>
      </c>
      <c r="S26" s="108">
        <f>SUM(S27:S29)</f>
        <v>224</v>
      </c>
      <c r="T26" s="16"/>
      <c r="U26" s="363"/>
      <c r="V26" s="77"/>
      <c r="W26" s="49"/>
      <c r="AD26" s="263"/>
      <c r="AE26" s="263"/>
      <c r="AF26" s="263"/>
    </row>
    <row r="27" spans="1:32" ht="25.5" customHeight="1">
      <c r="A27" s="368"/>
      <c r="B27" s="368"/>
      <c r="C27" s="383"/>
      <c r="D27" s="368"/>
      <c r="E27" s="368"/>
      <c r="F27" s="381"/>
      <c r="G27" s="285" t="s">
        <v>44</v>
      </c>
      <c r="H27" s="240" t="s">
        <v>47</v>
      </c>
      <c r="I27" s="29"/>
      <c r="J27" s="286" t="s">
        <v>247</v>
      </c>
      <c r="K27" s="287">
        <f>L27+O27</f>
        <v>2</v>
      </c>
      <c r="L27" s="287">
        <f>IF(I27="m",(M27+N27)*2.5*V27/28,(M27+N27)*2*V27/28)</f>
        <v>2</v>
      </c>
      <c r="M27" s="288">
        <v>2</v>
      </c>
      <c r="N27" s="288"/>
      <c r="O27" s="287">
        <f>IF(I27="m",(P27+Q27)*1.5*V27/28,(P27+Q27)*1*V27/28)</f>
        <v>0</v>
      </c>
      <c r="P27" s="288"/>
      <c r="Q27" s="288"/>
      <c r="R27" s="25" t="s">
        <v>234</v>
      </c>
      <c r="S27" s="25">
        <v>15</v>
      </c>
      <c r="T27" s="25"/>
      <c r="U27" s="363"/>
      <c r="V27" s="77">
        <v>14</v>
      </c>
      <c r="W27" s="49"/>
      <c r="X27" s="2">
        <f>IF(ISNUMBER(SEARCH("Aut",H27)),K27, 0)</f>
        <v>2</v>
      </c>
      <c r="Y27" s="2">
        <f>IF(ISNUMBER(SEARCH("Tst",H27)),K27, 0)</f>
        <v>2</v>
      </c>
      <c r="Z27" s="2">
        <f t="shared" si="7"/>
        <v>2</v>
      </c>
      <c r="AA27" s="2">
        <f>SUM(X27:X29)</f>
        <v>5</v>
      </c>
      <c r="AB27" s="2">
        <f>SUM(Y27:Y29)</f>
        <v>8</v>
      </c>
      <c r="AC27" s="2">
        <f>SUM(Z27:Z29)</f>
        <v>5</v>
      </c>
      <c r="AD27" s="265">
        <f>AA27/8</f>
        <v>0.625</v>
      </c>
      <c r="AE27" s="265">
        <f t="shared" ref="AE27:AF27" si="12">AB27/8</f>
        <v>1</v>
      </c>
      <c r="AF27" s="265">
        <f t="shared" si="12"/>
        <v>0.625</v>
      </c>
    </row>
    <row r="28" spans="1:32" ht="38.25" customHeight="1">
      <c r="A28" s="368"/>
      <c r="B28" s="368"/>
      <c r="C28" s="383"/>
      <c r="D28" s="368"/>
      <c r="E28" s="368"/>
      <c r="F28" s="381"/>
      <c r="G28" s="285" t="s">
        <v>45</v>
      </c>
      <c r="H28" s="240" t="s">
        <v>48</v>
      </c>
      <c r="I28" s="29"/>
      <c r="J28" s="240" t="s">
        <v>210</v>
      </c>
      <c r="K28" s="30">
        <f>L28+O28</f>
        <v>3</v>
      </c>
      <c r="L28" s="30">
        <f>IF(I28="m",(M28+N28)*2.5*V28/28,(M28+N28)*2*V28/28)</f>
        <v>3</v>
      </c>
      <c r="M28" s="29"/>
      <c r="N28" s="29">
        <v>3</v>
      </c>
      <c r="O28" s="30">
        <f>IF(I28="m",(P28+Q28)*1.5*V28/28,(P28+Q28)*1*V28/28)</f>
        <v>0</v>
      </c>
      <c r="P28" s="29"/>
      <c r="Q28" s="29"/>
      <c r="R28" s="25" t="s">
        <v>286</v>
      </c>
      <c r="S28" s="25">
        <v>109</v>
      </c>
      <c r="T28" s="25"/>
      <c r="U28" s="363"/>
      <c r="V28" s="77">
        <v>14</v>
      </c>
      <c r="W28" s="49"/>
      <c r="X28" s="2">
        <f>IF(ISNUMBER(SEARCH("Aut",H28)),K28, 0)</f>
        <v>3</v>
      </c>
      <c r="Y28" s="2">
        <f>IF(ISNUMBER(SEARCH("Tst",H28)),K28, 0)</f>
        <v>3</v>
      </c>
      <c r="Z28" s="2">
        <f t="shared" si="7"/>
        <v>3</v>
      </c>
      <c r="AD28" s="263"/>
      <c r="AE28" s="263"/>
      <c r="AF28" s="263"/>
    </row>
    <row r="29" spans="1:32" ht="17.25" customHeight="1" thickBot="1">
      <c r="A29" s="380"/>
      <c r="B29" s="380"/>
      <c r="C29" s="394"/>
      <c r="D29" s="380"/>
      <c r="E29" s="380"/>
      <c r="F29" s="401"/>
      <c r="G29" s="293" t="s">
        <v>46</v>
      </c>
      <c r="H29" s="294" t="s">
        <v>49</v>
      </c>
      <c r="I29" s="295"/>
      <c r="J29" s="294" t="s">
        <v>23</v>
      </c>
      <c r="K29" s="296">
        <f>L29+O29</f>
        <v>3</v>
      </c>
      <c r="L29" s="296">
        <f>IF(I29="m",(M29+N29)*2.5*V29/28,(M29+N29)*2*V29/28)</f>
        <v>3</v>
      </c>
      <c r="M29" s="295">
        <v>3</v>
      </c>
      <c r="N29" s="295"/>
      <c r="O29" s="296">
        <f>IF(I29="m",(P29+Q29)*1.5*V29/28,(P29+Q29)*1*V29/28)</f>
        <v>0</v>
      </c>
      <c r="P29" s="295"/>
      <c r="Q29" s="295"/>
      <c r="R29" s="110" t="s">
        <v>233</v>
      </c>
      <c r="S29" s="110">
        <v>100</v>
      </c>
      <c r="T29" s="110"/>
      <c r="U29" s="378"/>
      <c r="V29" s="210">
        <v>14</v>
      </c>
      <c r="W29" s="107"/>
      <c r="X29" s="2">
        <f>IF(ISNUMBER(SEARCH("Aut",H29)),K29, 0)</f>
        <v>0</v>
      </c>
      <c r="Y29" s="2">
        <f>IF(ISNUMBER(SEARCH("Tst",H29)),K29, 0)</f>
        <v>3</v>
      </c>
      <c r="Z29" s="2">
        <f t="shared" si="7"/>
        <v>0</v>
      </c>
      <c r="AD29" s="263"/>
      <c r="AE29" s="263"/>
      <c r="AF29" s="263"/>
    </row>
    <row r="30" spans="1:32" ht="12.75" customHeight="1">
      <c r="A30" s="367">
        <v>3</v>
      </c>
      <c r="B30" s="367" t="s">
        <v>31</v>
      </c>
      <c r="C30" s="387"/>
      <c r="D30" s="367" t="s">
        <v>31</v>
      </c>
      <c r="E30" s="367" t="s">
        <v>278</v>
      </c>
      <c r="F30" s="367" t="s">
        <v>15</v>
      </c>
      <c r="G30" s="376"/>
      <c r="H30" s="376"/>
      <c r="I30" s="375"/>
      <c r="J30" s="127">
        <v>16</v>
      </c>
      <c r="K30" s="131">
        <f>SUM(K32:K35)</f>
        <v>8</v>
      </c>
      <c r="L30" s="364">
        <f t="shared" ref="L30:Q30" si="13">SUM(L32:L35)</f>
        <v>8</v>
      </c>
      <c r="M30" s="364">
        <f t="shared" si="13"/>
        <v>2</v>
      </c>
      <c r="N30" s="364">
        <f t="shared" si="13"/>
        <v>6</v>
      </c>
      <c r="O30" s="364">
        <f t="shared" si="13"/>
        <v>0</v>
      </c>
      <c r="P30" s="364">
        <f t="shared" si="13"/>
        <v>0</v>
      </c>
      <c r="Q30" s="365">
        <f t="shared" si="13"/>
        <v>0</v>
      </c>
      <c r="R30" s="128">
        <f>J30-K30</f>
        <v>8</v>
      </c>
      <c r="S30" s="233">
        <f>S31/28</f>
        <v>8</v>
      </c>
      <c r="T30" s="233"/>
      <c r="U30" s="362"/>
      <c r="V30" s="209"/>
      <c r="W30" s="106"/>
      <c r="AD30" s="263"/>
      <c r="AE30" s="263"/>
      <c r="AF30" s="263"/>
    </row>
    <row r="31" spans="1:32" ht="13.5" customHeight="1" thickBot="1">
      <c r="A31" s="368"/>
      <c r="B31" s="368"/>
      <c r="C31" s="383"/>
      <c r="D31" s="368"/>
      <c r="E31" s="368"/>
      <c r="F31" s="381"/>
      <c r="G31" s="370"/>
      <c r="H31" s="371"/>
      <c r="I31" s="373"/>
      <c r="J31" s="129">
        <v>448</v>
      </c>
      <c r="K31" s="132">
        <f>K30*28</f>
        <v>224</v>
      </c>
      <c r="L31" s="361"/>
      <c r="M31" s="361"/>
      <c r="N31" s="361"/>
      <c r="O31" s="361"/>
      <c r="P31" s="361"/>
      <c r="Q31" s="366"/>
      <c r="R31" s="126">
        <f>J31-K31</f>
        <v>224</v>
      </c>
      <c r="S31" s="108">
        <f>SUM(S32:S34)</f>
        <v>224</v>
      </c>
      <c r="T31" s="16"/>
      <c r="U31" s="363"/>
      <c r="V31" s="77"/>
      <c r="W31" s="49"/>
      <c r="AD31" s="263"/>
      <c r="AE31" s="263"/>
      <c r="AF31" s="263"/>
    </row>
    <row r="32" spans="1:32" ht="25.5" customHeight="1">
      <c r="A32" s="368"/>
      <c r="B32" s="368"/>
      <c r="C32" s="383"/>
      <c r="D32" s="368"/>
      <c r="E32" s="368"/>
      <c r="F32" s="381"/>
      <c r="G32" s="285" t="s">
        <v>51</v>
      </c>
      <c r="H32" s="240" t="s">
        <v>245</v>
      </c>
      <c r="I32" s="29"/>
      <c r="J32" s="297" t="s">
        <v>211</v>
      </c>
      <c r="K32" s="287">
        <f>L32+O32</f>
        <v>2</v>
      </c>
      <c r="L32" s="287">
        <f>IF(I32="m",(M32+N32)*2.5*V32/28,(M32+N32)*2*V32/28)</f>
        <v>2</v>
      </c>
      <c r="M32" s="288"/>
      <c r="N32" s="288">
        <v>2</v>
      </c>
      <c r="O32" s="287">
        <f>IF(I32="m",(P32+Q32)*1.5*V32/28,(P32+Q32)*1*V32/28)</f>
        <v>0</v>
      </c>
      <c r="P32" s="288"/>
      <c r="Q32" s="288"/>
      <c r="R32" s="25" t="s">
        <v>234</v>
      </c>
      <c r="S32" s="25">
        <v>30</v>
      </c>
      <c r="T32" s="25"/>
      <c r="U32" s="363"/>
      <c r="V32" s="77">
        <v>14</v>
      </c>
      <c r="W32" s="49"/>
      <c r="X32" s="2">
        <f>IF(ISNUMBER(SEARCH("Aut",H32)),K32, 0)</f>
        <v>2</v>
      </c>
      <c r="Y32" s="2">
        <f>IF(ISNUMBER(SEARCH("Tst",H32)),K32, 0)</f>
        <v>2</v>
      </c>
      <c r="Z32" s="2">
        <f t="shared" si="7"/>
        <v>2</v>
      </c>
      <c r="AA32" s="2">
        <f>SUM(X32:X35)</f>
        <v>8</v>
      </c>
      <c r="AB32" s="2">
        <f>SUM(Y32:Y35)</f>
        <v>2</v>
      </c>
      <c r="AC32" s="2">
        <f>SUM(Z32:Z35)</f>
        <v>4</v>
      </c>
      <c r="AD32" s="265">
        <f t="shared" ref="AD32" si="14">AA32/8</f>
        <v>1</v>
      </c>
      <c r="AE32" s="265">
        <f t="shared" ref="AE32" si="15">AB32/8</f>
        <v>0.25</v>
      </c>
      <c r="AF32" s="265">
        <f t="shared" ref="AF32" si="16">AC32/8</f>
        <v>0.5</v>
      </c>
    </row>
    <row r="33" spans="1:32" ht="25.5">
      <c r="A33" s="368"/>
      <c r="B33" s="368"/>
      <c r="C33" s="383"/>
      <c r="D33" s="368"/>
      <c r="E33" s="368"/>
      <c r="F33" s="381"/>
      <c r="G33" s="285" t="s">
        <v>250</v>
      </c>
      <c r="H33" s="240" t="s">
        <v>52</v>
      </c>
      <c r="I33" s="29"/>
      <c r="J33" s="240" t="s">
        <v>53</v>
      </c>
      <c r="K33" s="30">
        <f>L33+O33</f>
        <v>2</v>
      </c>
      <c r="L33" s="30">
        <f>IF(I33="m",(M33+N33)*2.5*V33/28,(M33+N33)*2*V33/28)</f>
        <v>2</v>
      </c>
      <c r="M33" s="29">
        <v>2</v>
      </c>
      <c r="N33" s="29"/>
      <c r="O33" s="30">
        <f>IF(I33="m",(P33+Q33)*1.5*V33/28,(P33+Q33)*1*V33/28)</f>
        <v>0</v>
      </c>
      <c r="P33" s="29"/>
      <c r="Q33" s="29"/>
      <c r="R33" s="25" t="s">
        <v>287</v>
      </c>
      <c r="S33" s="25">
        <v>94</v>
      </c>
      <c r="T33" s="25"/>
      <c r="U33" s="363"/>
      <c r="V33" s="77">
        <v>14</v>
      </c>
      <c r="W33" s="49"/>
      <c r="X33" s="2">
        <f>IF(ISNUMBER(SEARCH("Aut",H33)),K33, 0)</f>
        <v>2</v>
      </c>
      <c r="Y33" s="2">
        <f>IF(ISNUMBER(SEARCH("Tst",H33)),K33, 0)</f>
        <v>0</v>
      </c>
      <c r="Z33" s="2">
        <f t="shared" si="7"/>
        <v>2</v>
      </c>
      <c r="AD33" s="263"/>
      <c r="AE33" s="263"/>
      <c r="AF33" s="263"/>
    </row>
    <row r="34" spans="1:32" ht="15" customHeight="1">
      <c r="A34" s="368"/>
      <c r="B34" s="368"/>
      <c r="C34" s="383"/>
      <c r="D34" s="368"/>
      <c r="E34" s="368"/>
      <c r="F34" s="381"/>
      <c r="G34" s="285" t="s">
        <v>54</v>
      </c>
      <c r="H34" s="240" t="s">
        <v>55</v>
      </c>
      <c r="I34" s="29"/>
      <c r="J34" s="240" t="s">
        <v>23</v>
      </c>
      <c r="K34" s="30">
        <f>L34+O34</f>
        <v>2</v>
      </c>
      <c r="L34" s="30">
        <f>IF(I34="m",(M34+N34)*2.5*V34/28,(M34+N34)*2*V34/28)</f>
        <v>2</v>
      </c>
      <c r="M34" s="29"/>
      <c r="N34" s="29">
        <v>2</v>
      </c>
      <c r="O34" s="30">
        <f>IF(I34="m",(P34+Q34)*1.5*V34/28,(P34+Q34)*1*V34/28)</f>
        <v>0</v>
      </c>
      <c r="P34" s="29"/>
      <c r="Q34" s="29"/>
      <c r="R34" s="25" t="s">
        <v>233</v>
      </c>
      <c r="S34" s="25">
        <v>100</v>
      </c>
      <c r="T34" s="25"/>
      <c r="U34" s="363"/>
      <c r="V34" s="77">
        <v>14</v>
      </c>
      <c r="W34" s="49"/>
      <c r="X34" s="2">
        <f>IF(ISNUMBER(SEARCH("Aut",H34)),K34, 0)</f>
        <v>2</v>
      </c>
      <c r="Y34" s="2">
        <f>IF(ISNUMBER(SEARCH("Tst",H34)),K34, 0)</f>
        <v>0</v>
      </c>
      <c r="Z34" s="2">
        <f t="shared" si="7"/>
        <v>0</v>
      </c>
      <c r="AD34" s="263"/>
      <c r="AE34" s="263"/>
      <c r="AF34" s="263"/>
    </row>
    <row r="35" spans="1:32" ht="13.5" customHeight="1" thickBot="1">
      <c r="A35" s="380"/>
      <c r="B35" s="380"/>
      <c r="C35" s="394"/>
      <c r="D35" s="380"/>
      <c r="E35" s="380"/>
      <c r="F35" s="401"/>
      <c r="G35" s="293" t="s">
        <v>56</v>
      </c>
      <c r="H35" s="294" t="s">
        <v>55</v>
      </c>
      <c r="I35" s="295"/>
      <c r="J35" s="294" t="s">
        <v>24</v>
      </c>
      <c r="K35" s="296">
        <f>L35+O35</f>
        <v>2</v>
      </c>
      <c r="L35" s="296">
        <f>IF(I35="m",(M35+N35)*2.5*V35/28,(M35+N35)*2*V35/28)</f>
        <v>2</v>
      </c>
      <c r="M35" s="295"/>
      <c r="N35" s="295">
        <v>2</v>
      </c>
      <c r="O35" s="296">
        <f>IF(I35="m",(P35+Q35)*1.5*V35/28,(P35+Q35)*1*V35/28)</f>
        <v>0</v>
      </c>
      <c r="P35" s="295"/>
      <c r="Q35" s="295"/>
      <c r="R35" s="236"/>
      <c r="T35" s="110"/>
      <c r="U35" s="378"/>
      <c r="V35" s="210">
        <v>14</v>
      </c>
      <c r="W35" s="107"/>
      <c r="X35" s="2">
        <f>IF(ISNUMBER(SEARCH("Aut",H35)),K35, 0)</f>
        <v>2</v>
      </c>
      <c r="Y35" s="2">
        <f>IF(ISNUMBER(SEARCH("Tst",H35)),K35, 0)</f>
        <v>0</v>
      </c>
      <c r="Z35" s="2">
        <f t="shared" si="7"/>
        <v>0</v>
      </c>
      <c r="AD35" s="263"/>
      <c r="AE35" s="263"/>
      <c r="AF35" s="263"/>
    </row>
    <row r="36" spans="1:32" ht="12.75" customHeight="1">
      <c r="A36" s="367">
        <v>4</v>
      </c>
      <c r="B36" s="367" t="s">
        <v>31</v>
      </c>
      <c r="C36" s="387"/>
      <c r="D36" s="367" t="s">
        <v>31</v>
      </c>
      <c r="E36" s="367" t="s">
        <v>279</v>
      </c>
      <c r="F36" s="367" t="s">
        <v>15</v>
      </c>
      <c r="G36" s="376"/>
      <c r="H36" s="376"/>
      <c r="I36" s="375"/>
      <c r="J36" s="127">
        <v>16</v>
      </c>
      <c r="K36" s="131">
        <f t="shared" ref="K36:Q36" si="17">SUM(K38:K42)</f>
        <v>9</v>
      </c>
      <c r="L36" s="364">
        <f t="shared" si="17"/>
        <v>8</v>
      </c>
      <c r="M36" s="364">
        <f t="shared" si="17"/>
        <v>6</v>
      </c>
      <c r="N36" s="364">
        <f t="shared" si="17"/>
        <v>2</v>
      </c>
      <c r="O36" s="364">
        <f t="shared" si="17"/>
        <v>1</v>
      </c>
      <c r="P36" s="364">
        <f t="shared" si="17"/>
        <v>2</v>
      </c>
      <c r="Q36" s="365">
        <f t="shared" si="17"/>
        <v>0</v>
      </c>
      <c r="R36" s="128">
        <f>J36-K36</f>
        <v>7</v>
      </c>
      <c r="S36" s="233">
        <f>S37/28</f>
        <v>7</v>
      </c>
      <c r="T36" s="233"/>
      <c r="U36" s="362"/>
      <c r="V36" s="209"/>
      <c r="W36" s="106"/>
      <c r="AD36" s="263"/>
      <c r="AE36" s="263"/>
      <c r="AF36" s="263"/>
    </row>
    <row r="37" spans="1:32" ht="13.5" customHeight="1" thickBot="1">
      <c r="A37" s="368"/>
      <c r="B37" s="368"/>
      <c r="C37" s="383"/>
      <c r="D37" s="368"/>
      <c r="E37" s="368"/>
      <c r="F37" s="381"/>
      <c r="G37" s="370"/>
      <c r="H37" s="371"/>
      <c r="I37" s="373"/>
      <c r="J37" s="129">
        <v>448</v>
      </c>
      <c r="K37" s="132">
        <f>K36*28</f>
        <v>252</v>
      </c>
      <c r="L37" s="361"/>
      <c r="M37" s="361"/>
      <c r="N37" s="361"/>
      <c r="O37" s="361"/>
      <c r="P37" s="361"/>
      <c r="Q37" s="366"/>
      <c r="R37" s="126">
        <f>J37-K37</f>
        <v>196</v>
      </c>
      <c r="S37" s="108">
        <f>SUM(S38:S42)</f>
        <v>196</v>
      </c>
      <c r="T37" s="16"/>
      <c r="U37" s="363"/>
      <c r="V37" s="77"/>
      <c r="W37" s="49"/>
      <c r="AD37" s="263"/>
      <c r="AE37" s="263"/>
      <c r="AF37" s="263"/>
    </row>
    <row r="38" spans="1:32" ht="12.75" customHeight="1">
      <c r="A38" s="368"/>
      <c r="B38" s="368"/>
      <c r="C38" s="383"/>
      <c r="D38" s="368"/>
      <c r="E38" s="368"/>
      <c r="F38" s="381"/>
      <c r="G38" s="289" t="s">
        <v>122</v>
      </c>
      <c r="H38" s="286" t="s">
        <v>128</v>
      </c>
      <c r="I38" s="298"/>
      <c r="J38" s="286" t="s">
        <v>213</v>
      </c>
      <c r="K38" s="287">
        <f>L38+O38</f>
        <v>2</v>
      </c>
      <c r="L38" s="287">
        <f>IF(J38="m",(M38+N38)*2.5*V38/28,(M38+N38)*2*V38/28)</f>
        <v>2</v>
      </c>
      <c r="M38" s="288">
        <v>2</v>
      </c>
      <c r="N38" s="288"/>
      <c r="O38" s="287">
        <f>IF(J38="m",(P38+Q38)*1.5*V38/28,(P38+Q38)*1*V38/28)</f>
        <v>0</v>
      </c>
      <c r="P38" s="288"/>
      <c r="Q38" s="288"/>
      <c r="R38" s="25" t="s">
        <v>234</v>
      </c>
      <c r="S38" s="25">
        <v>45</v>
      </c>
      <c r="T38" s="25"/>
      <c r="U38" s="363"/>
      <c r="V38" s="77">
        <v>14</v>
      </c>
      <c r="W38" s="49"/>
      <c r="X38" s="2">
        <f>IF(ISNUMBER(SEARCH("Aut",H38)),K38, 0)</f>
        <v>2</v>
      </c>
      <c r="Y38" s="2">
        <f>IF(ISNUMBER(SEARCH("Tst",H38)),K38, 0)</f>
        <v>0</v>
      </c>
      <c r="Z38" s="2">
        <f>IF(ISNUMBER(SEARCH("Calc",H38)),K38, 0)</f>
        <v>2</v>
      </c>
      <c r="AA38" s="2">
        <f>SUM(X38:X42)</f>
        <v>7</v>
      </c>
      <c r="AB38" s="2">
        <f>SUM(Y38:Y42)</f>
        <v>4</v>
      </c>
      <c r="AC38" s="2">
        <f>SUM(Z38:Z42)</f>
        <v>6</v>
      </c>
      <c r="AD38" s="265">
        <f t="shared" ref="AD38" si="18">AA38/8</f>
        <v>0.875</v>
      </c>
      <c r="AE38" s="265">
        <f t="shared" ref="AE38" si="19">AB38/8</f>
        <v>0.5</v>
      </c>
      <c r="AF38" s="265">
        <f t="shared" ref="AF38" si="20">AC38/8</f>
        <v>0.75</v>
      </c>
    </row>
    <row r="39" spans="1:32" ht="12.75" customHeight="1">
      <c r="A39" s="368"/>
      <c r="B39" s="368"/>
      <c r="C39" s="383"/>
      <c r="D39" s="368"/>
      <c r="E39" s="368"/>
      <c r="F39" s="381"/>
      <c r="G39" s="285" t="s">
        <v>123</v>
      </c>
      <c r="H39" s="240" t="s">
        <v>49</v>
      </c>
      <c r="I39" s="298"/>
      <c r="J39" s="240" t="s">
        <v>18</v>
      </c>
      <c r="K39" s="75">
        <f>L39+O39</f>
        <v>2</v>
      </c>
      <c r="L39" s="287">
        <f t="shared" ref="L39:L42" si="21">IF(J39="m",(M39+N39)*2.5*V39/28,(M39+N39)*2*V39/28)</f>
        <v>2</v>
      </c>
      <c r="M39" s="240">
        <v>2</v>
      </c>
      <c r="N39" s="240"/>
      <c r="O39" s="287">
        <f t="shared" ref="O39:O42" si="22">IF(J39="m",(P39+Q39)*1.5*V39/28,(P39+Q39)*1*V39/28)</f>
        <v>0</v>
      </c>
      <c r="P39" s="240"/>
      <c r="Q39" s="240"/>
      <c r="R39" s="25" t="s">
        <v>38</v>
      </c>
      <c r="S39" s="25">
        <v>50</v>
      </c>
      <c r="T39" s="25"/>
      <c r="U39" s="363"/>
      <c r="V39" s="77">
        <v>14</v>
      </c>
      <c r="W39" s="49"/>
      <c r="X39" s="2">
        <f>IF(ISNUMBER(SEARCH("Aut",H39)),K39, 0)</f>
        <v>0</v>
      </c>
      <c r="Y39" s="2">
        <f>IF(ISNUMBER(SEARCH("Tst",H39)),K39, 0)</f>
        <v>2</v>
      </c>
      <c r="Z39" s="2">
        <f>IF(ISNUMBER(SEARCH("Calc",H39)),K39, 0)</f>
        <v>0</v>
      </c>
      <c r="AD39" s="263"/>
      <c r="AE39" s="263"/>
      <c r="AF39" s="263"/>
    </row>
    <row r="40" spans="1:32" ht="25.5" customHeight="1">
      <c r="A40" s="368"/>
      <c r="B40" s="368"/>
      <c r="C40" s="383"/>
      <c r="D40" s="368"/>
      <c r="E40" s="368"/>
      <c r="F40" s="381"/>
      <c r="G40" s="285" t="s">
        <v>136</v>
      </c>
      <c r="H40" s="240" t="s">
        <v>246</v>
      </c>
      <c r="I40" s="29"/>
      <c r="J40" s="297" t="s">
        <v>210</v>
      </c>
      <c r="K40" s="287">
        <f>L40+O40</f>
        <v>2</v>
      </c>
      <c r="L40" s="287">
        <f t="shared" si="21"/>
        <v>2</v>
      </c>
      <c r="M40" s="288"/>
      <c r="N40" s="288">
        <v>2</v>
      </c>
      <c r="O40" s="287">
        <f t="shared" si="22"/>
        <v>0</v>
      </c>
      <c r="P40" s="288"/>
      <c r="Q40" s="288"/>
      <c r="R40" s="25" t="s">
        <v>39</v>
      </c>
      <c r="S40" s="25">
        <v>30</v>
      </c>
      <c r="T40" s="25"/>
      <c r="U40" s="363"/>
      <c r="V40" s="77">
        <v>14</v>
      </c>
      <c r="W40" s="49"/>
      <c r="X40" s="2">
        <f>IF(ISNUMBER(SEARCH("Aut",H40)),K40, 0)</f>
        <v>2</v>
      </c>
      <c r="Y40" s="2">
        <f>IF(ISNUMBER(SEARCH("Tst",H40)),K40, 0)</f>
        <v>2</v>
      </c>
      <c r="Z40" s="2">
        <f>IF(ISNUMBER(SEARCH("Calc",H40)),K40, 0)</f>
        <v>2</v>
      </c>
      <c r="AD40" s="263"/>
      <c r="AE40" s="263"/>
      <c r="AF40" s="263"/>
    </row>
    <row r="41" spans="1:32" ht="25.5">
      <c r="A41" s="368"/>
      <c r="B41" s="368"/>
      <c r="C41" s="383"/>
      <c r="D41" s="368"/>
      <c r="E41" s="368"/>
      <c r="F41" s="381"/>
      <c r="G41" s="285" t="s">
        <v>124</v>
      </c>
      <c r="H41" s="240" t="s">
        <v>137</v>
      </c>
      <c r="I41" s="29"/>
      <c r="J41" s="240" t="s">
        <v>53</v>
      </c>
      <c r="K41" s="30">
        <f>L41+O41</f>
        <v>2</v>
      </c>
      <c r="L41" s="287">
        <f t="shared" si="21"/>
        <v>2</v>
      </c>
      <c r="M41" s="29">
        <v>2</v>
      </c>
      <c r="N41" s="29"/>
      <c r="O41" s="287">
        <f t="shared" si="22"/>
        <v>0</v>
      </c>
      <c r="P41" s="29"/>
      <c r="Q41" s="29"/>
      <c r="R41" s="25" t="s">
        <v>40</v>
      </c>
      <c r="S41" s="25">
        <v>71</v>
      </c>
      <c r="T41" s="25"/>
      <c r="U41" s="363"/>
      <c r="V41" s="77">
        <v>14</v>
      </c>
      <c r="W41" s="49"/>
      <c r="X41" s="2">
        <f>IF(ISNUMBER(SEARCH("Aut",H41)),K41, 0)</f>
        <v>2</v>
      </c>
      <c r="Y41" s="2">
        <f>IF(ISNUMBER(SEARCH("Tst",H41)),K41, 0)</f>
        <v>0</v>
      </c>
      <c r="Z41" s="2">
        <f>IF(ISNUMBER(SEARCH("Calc",H41)),K41, 0)</f>
        <v>2</v>
      </c>
      <c r="AD41" s="263"/>
      <c r="AE41" s="263"/>
      <c r="AF41" s="263"/>
    </row>
    <row r="42" spans="1:32" ht="13.5" customHeight="1" thickBot="1">
      <c r="A42" s="368"/>
      <c r="B42" s="368"/>
      <c r="C42" s="383"/>
      <c r="D42" s="368"/>
      <c r="E42" s="368"/>
      <c r="F42" s="381"/>
      <c r="G42" s="285" t="s">
        <v>122</v>
      </c>
      <c r="H42" s="291" t="s">
        <v>55</v>
      </c>
      <c r="I42" s="298"/>
      <c r="J42" s="291" t="s">
        <v>129</v>
      </c>
      <c r="K42" s="30">
        <f>L42+O42</f>
        <v>1</v>
      </c>
      <c r="L42" s="287">
        <f t="shared" si="21"/>
        <v>0</v>
      </c>
      <c r="M42" s="29"/>
      <c r="N42" s="29"/>
      <c r="O42" s="287">
        <f t="shared" si="22"/>
        <v>1</v>
      </c>
      <c r="P42" s="29">
        <v>2</v>
      </c>
      <c r="Q42" s="29"/>
      <c r="R42" s="25"/>
      <c r="S42" s="25"/>
      <c r="T42" s="25"/>
      <c r="U42" s="363"/>
      <c r="V42" s="77">
        <v>14</v>
      </c>
      <c r="W42" s="49"/>
      <c r="X42" s="2">
        <f>IF(ISNUMBER(SEARCH("Aut",H42)),K42, 0)</f>
        <v>1</v>
      </c>
      <c r="Y42" s="2">
        <f>IF(ISNUMBER(SEARCH("Tst",H42)),K42, 0)</f>
        <v>0</v>
      </c>
      <c r="Z42" s="2">
        <f>IF(ISNUMBER(SEARCH("Calc",H42)),K42, 0)</f>
        <v>0</v>
      </c>
      <c r="AD42" s="263"/>
      <c r="AE42" s="263"/>
      <c r="AF42" s="263"/>
    </row>
    <row r="43" spans="1:32" ht="12.75" customHeight="1">
      <c r="A43" s="367">
        <v>5</v>
      </c>
      <c r="B43" s="367" t="s">
        <v>31</v>
      </c>
      <c r="C43" s="387"/>
      <c r="D43" s="367" t="s">
        <v>31</v>
      </c>
      <c r="E43" s="367" t="s">
        <v>257</v>
      </c>
      <c r="F43" s="367" t="s">
        <v>15</v>
      </c>
      <c r="G43" s="436"/>
      <c r="H43" s="436"/>
      <c r="I43" s="434"/>
      <c r="J43" s="127">
        <v>16</v>
      </c>
      <c r="K43" s="131">
        <f>SUM(K45:K49)</f>
        <v>9</v>
      </c>
      <c r="L43" s="399">
        <f t="shared" ref="L43:Q43" si="23">SUM(L45:L49)</f>
        <v>4</v>
      </c>
      <c r="M43" s="399">
        <f t="shared" si="23"/>
        <v>4</v>
      </c>
      <c r="N43" s="399">
        <f t="shared" si="23"/>
        <v>0</v>
      </c>
      <c r="O43" s="399">
        <f t="shared" si="23"/>
        <v>5</v>
      </c>
      <c r="P43" s="399">
        <f t="shared" si="23"/>
        <v>10</v>
      </c>
      <c r="Q43" s="427">
        <f t="shared" si="23"/>
        <v>0</v>
      </c>
      <c r="R43" s="128">
        <f>J43-K43</f>
        <v>7</v>
      </c>
      <c r="S43" s="238">
        <f>S44/28</f>
        <v>0</v>
      </c>
      <c r="T43" s="238"/>
      <c r="U43" s="367"/>
      <c r="V43" s="209"/>
      <c r="W43" s="106"/>
      <c r="AD43" s="263"/>
      <c r="AE43" s="263"/>
      <c r="AF43" s="263"/>
    </row>
    <row r="44" spans="1:32" ht="12.75" customHeight="1" thickBot="1">
      <c r="A44" s="381"/>
      <c r="B44" s="381"/>
      <c r="C44" s="382"/>
      <c r="D44" s="381"/>
      <c r="E44" s="381"/>
      <c r="F44" s="381"/>
      <c r="G44" s="369"/>
      <c r="H44" s="369"/>
      <c r="I44" s="435"/>
      <c r="J44" s="129">
        <v>448</v>
      </c>
      <c r="K44" s="132">
        <f>K43*28</f>
        <v>252</v>
      </c>
      <c r="L44" s="400"/>
      <c r="M44" s="400"/>
      <c r="N44" s="400"/>
      <c r="O44" s="400"/>
      <c r="P44" s="400"/>
      <c r="Q44" s="428"/>
      <c r="R44" s="126">
        <f>J44-K44</f>
        <v>196</v>
      </c>
      <c r="S44" s="108">
        <f>SUM(S45:S49)</f>
        <v>0</v>
      </c>
      <c r="T44" s="16"/>
      <c r="U44" s="381"/>
      <c r="V44" s="77"/>
      <c r="W44" s="49"/>
      <c r="AD44" s="263"/>
      <c r="AE44" s="263"/>
      <c r="AF44" s="263"/>
    </row>
    <row r="45" spans="1:32" ht="25.5" customHeight="1">
      <c r="A45" s="381"/>
      <c r="B45" s="381"/>
      <c r="C45" s="382"/>
      <c r="D45" s="381"/>
      <c r="E45" s="381"/>
      <c r="F45" s="381"/>
      <c r="G45" s="285" t="s">
        <v>119</v>
      </c>
      <c r="H45" s="240" t="s">
        <v>125</v>
      </c>
      <c r="I45" s="29"/>
      <c r="J45" s="299" t="s">
        <v>212</v>
      </c>
      <c r="K45" s="287">
        <f>L45+O45</f>
        <v>2</v>
      </c>
      <c r="L45" s="287">
        <f>IF(I45="m",(M45+N45)*2.5*V45/28,(M45+N45)*2*V45/28)</f>
        <v>2</v>
      </c>
      <c r="M45" s="288">
        <v>2</v>
      </c>
      <c r="N45" s="288"/>
      <c r="O45" s="287">
        <f>IF(I45="m",(P45+Q45)*1.5*V45/28,(P45+Q45)*1*V45/28)</f>
        <v>0</v>
      </c>
      <c r="P45" s="288"/>
      <c r="Q45" s="288"/>
      <c r="R45" s="116"/>
      <c r="S45" s="116"/>
      <c r="T45" s="116"/>
      <c r="U45" s="381"/>
      <c r="V45" s="77">
        <v>14</v>
      </c>
      <c r="W45" s="49"/>
      <c r="X45" s="2">
        <f>IF(ISNUMBER(SEARCH("Aut",H45)),K45, 0)</f>
        <v>2</v>
      </c>
      <c r="Y45" s="2">
        <f>IF(ISNUMBER(SEARCH("Tst",H45)),K45, 0)</f>
        <v>2</v>
      </c>
      <c r="Z45" s="2">
        <f>IF(ISNUMBER(SEARCH("Calc",H45)),K45, 0)</f>
        <v>2</v>
      </c>
      <c r="AA45" s="2">
        <f>SUM(X45:X49)</f>
        <v>2</v>
      </c>
      <c r="AB45" s="2">
        <f>SUM(Y45:Y49)</f>
        <v>3</v>
      </c>
      <c r="AC45" s="2">
        <f>SUM(Z45:Z49)</f>
        <v>6</v>
      </c>
      <c r="AD45" s="265">
        <f t="shared" ref="AD45" si="24">AA45/8</f>
        <v>0.25</v>
      </c>
      <c r="AE45" s="265">
        <f t="shared" ref="AE45" si="25">AB45/8</f>
        <v>0.375</v>
      </c>
      <c r="AF45" s="265">
        <f t="shared" ref="AF45" si="26">AC45/8</f>
        <v>0.75</v>
      </c>
    </row>
    <row r="46" spans="1:32" ht="12.75" customHeight="1">
      <c r="A46" s="381"/>
      <c r="B46" s="381"/>
      <c r="C46" s="382"/>
      <c r="D46" s="381"/>
      <c r="E46" s="381"/>
      <c r="F46" s="381"/>
      <c r="G46" s="285" t="s">
        <v>120</v>
      </c>
      <c r="H46" s="240" t="s">
        <v>61</v>
      </c>
      <c r="I46" s="29"/>
      <c r="J46" s="240" t="s">
        <v>23</v>
      </c>
      <c r="K46" s="287">
        <f>L46+O46</f>
        <v>2</v>
      </c>
      <c r="L46" s="287">
        <f>IF(I46="m",(M46+N46)*2.5*V46/28,(M46+N46)*2*V46/28)</f>
        <v>2</v>
      </c>
      <c r="M46" s="288">
        <v>2</v>
      </c>
      <c r="N46" s="288"/>
      <c r="O46" s="287">
        <f>IF(I46="m",(P46+Q46)*1.5*V46/28,(P46+Q46)*1*V46/28)</f>
        <v>0</v>
      </c>
      <c r="P46" s="29"/>
      <c r="Q46" s="29"/>
      <c r="R46" s="116"/>
      <c r="S46" s="116"/>
      <c r="T46" s="116"/>
      <c r="U46" s="381"/>
      <c r="V46" s="77">
        <v>14</v>
      </c>
      <c r="W46" s="49"/>
      <c r="X46" s="2">
        <f>IF(ISNUMBER(SEARCH("Aut",H46)),K46, 0)</f>
        <v>0</v>
      </c>
      <c r="Y46" s="2">
        <f>IF(ISNUMBER(SEARCH("Tst",H46)),K46, 0)</f>
        <v>0</v>
      </c>
      <c r="Z46" s="2">
        <f>IF(ISNUMBER(SEARCH("Calc",H46)),K46, 0)</f>
        <v>2</v>
      </c>
      <c r="AD46" s="263"/>
      <c r="AE46" s="263"/>
      <c r="AF46" s="263"/>
    </row>
    <row r="47" spans="1:32" ht="12.75" customHeight="1">
      <c r="A47" s="381"/>
      <c r="B47" s="381"/>
      <c r="C47" s="382"/>
      <c r="D47" s="381"/>
      <c r="E47" s="381"/>
      <c r="F47" s="381"/>
      <c r="G47" s="285" t="s">
        <v>120</v>
      </c>
      <c r="H47" s="240" t="s">
        <v>61</v>
      </c>
      <c r="I47" s="29"/>
      <c r="J47" s="240" t="s">
        <v>126</v>
      </c>
      <c r="K47" s="30">
        <f>L47+O47</f>
        <v>2</v>
      </c>
      <c r="L47" s="30">
        <f>IF(I47="m",(M47+N47)*2.5*V47/28,(M47+N47)*2*V47/28)</f>
        <v>0</v>
      </c>
      <c r="M47" s="29"/>
      <c r="N47" s="29"/>
      <c r="O47" s="30">
        <f>IF(I47="m",(P47+Q47)*1.5*V47/28,(P47+Q47)*1*V47/28)</f>
        <v>2</v>
      </c>
      <c r="P47" s="29">
        <v>4</v>
      </c>
      <c r="Q47" s="29"/>
      <c r="R47" s="25"/>
      <c r="S47" s="25"/>
      <c r="T47" s="25"/>
      <c r="U47" s="381"/>
      <c r="V47" s="77">
        <v>14</v>
      </c>
      <c r="W47" s="49"/>
      <c r="X47" s="2">
        <f>IF(ISNUMBER(SEARCH("Aut",H47)),K47, 0)</f>
        <v>0</v>
      </c>
      <c r="Y47" s="2">
        <f>IF(ISNUMBER(SEARCH("Tst",H47)),K47, 0)</f>
        <v>0</v>
      </c>
      <c r="Z47" s="2">
        <f>IF(ISNUMBER(SEARCH("Calc",H47)),K47, 0)</f>
        <v>2</v>
      </c>
      <c r="AD47" s="263"/>
      <c r="AE47" s="263"/>
      <c r="AF47" s="263"/>
    </row>
    <row r="48" spans="1:32" ht="25.5">
      <c r="A48" s="381"/>
      <c r="B48" s="381"/>
      <c r="C48" s="382"/>
      <c r="D48" s="381"/>
      <c r="E48" s="381"/>
      <c r="F48" s="381"/>
      <c r="G48" s="285" t="s">
        <v>119</v>
      </c>
      <c r="H48" s="240" t="s">
        <v>49</v>
      </c>
      <c r="I48" s="29"/>
      <c r="J48" s="240" t="s">
        <v>129</v>
      </c>
      <c r="K48" s="30">
        <f>L48+O48</f>
        <v>1</v>
      </c>
      <c r="L48" s="287">
        <f>IF(I48="m",(M48+N48)*2.5*V109/28,(M48+N48)*2*V109/28)</f>
        <v>0</v>
      </c>
      <c r="M48" s="29"/>
      <c r="N48" s="29"/>
      <c r="O48" s="287">
        <f>IF(I48="m",(P48+Q48)*1.5*V109/28,(P48+Q48)*1*V109/28)</f>
        <v>1</v>
      </c>
      <c r="P48" s="240">
        <v>2</v>
      </c>
      <c r="Q48" s="240"/>
      <c r="R48" s="25"/>
      <c r="S48" s="25"/>
      <c r="T48" s="25"/>
      <c r="U48" s="381"/>
      <c r="V48" s="77">
        <v>14</v>
      </c>
      <c r="W48" s="49"/>
      <c r="X48" s="2">
        <f t="shared" ref="X48:X49" si="27">IF(ISNUMBER(SEARCH("Aut",H48)),K48, 0)</f>
        <v>0</v>
      </c>
      <c r="Y48" s="2">
        <f t="shared" ref="Y48:Y49" si="28">IF(ISNUMBER(SEARCH("Tst",H48)),K48, 0)</f>
        <v>1</v>
      </c>
      <c r="Z48" s="2">
        <f t="shared" ref="Z48:Z49" si="29">IF(ISNUMBER(SEARCH("Calc",H48)),K48, 0)</f>
        <v>0</v>
      </c>
      <c r="AD48" s="263"/>
      <c r="AE48" s="263"/>
      <c r="AF48" s="263"/>
    </row>
    <row r="49" spans="1:32" ht="26.25" customHeight="1" thickBot="1">
      <c r="A49" s="401"/>
      <c r="B49" s="401"/>
      <c r="C49" s="437"/>
      <c r="D49" s="401"/>
      <c r="E49" s="401"/>
      <c r="F49" s="401"/>
      <c r="G49" s="285" t="s">
        <v>119</v>
      </c>
      <c r="H49" s="240" t="s">
        <v>177</v>
      </c>
      <c r="I49" s="29"/>
      <c r="J49" s="240" t="s">
        <v>127</v>
      </c>
      <c r="K49" s="30">
        <f>L49+O49</f>
        <v>2</v>
      </c>
      <c r="L49" s="30">
        <f>IF(I49="m",(M49+N49)*2.5*V49/28,(M49+N49)*2*V49/28)</f>
        <v>0</v>
      </c>
      <c r="M49" s="29"/>
      <c r="N49" s="29"/>
      <c r="O49" s="30">
        <f>IF(I49="m",(P49+Q49)*1.5*V49/28,(P49+Q49)*1*V49/28)</f>
        <v>2</v>
      </c>
      <c r="P49" s="29">
        <v>4</v>
      </c>
      <c r="Q49" s="29"/>
      <c r="R49" s="25"/>
      <c r="S49" s="25"/>
      <c r="T49" s="25"/>
      <c r="U49" s="401"/>
      <c r="V49" s="77">
        <v>14</v>
      </c>
      <c r="W49" s="49"/>
      <c r="X49" s="2">
        <f t="shared" si="27"/>
        <v>0</v>
      </c>
      <c r="Y49" s="2">
        <f t="shared" si="28"/>
        <v>0</v>
      </c>
      <c r="Z49" s="2">
        <f t="shared" si="29"/>
        <v>0</v>
      </c>
      <c r="AD49" s="263"/>
      <c r="AE49" s="263"/>
      <c r="AF49" s="263"/>
    </row>
    <row r="50" spans="1:32" ht="12.75" customHeight="1">
      <c r="A50" s="391">
        <v>6</v>
      </c>
      <c r="B50" s="367" t="s">
        <v>16</v>
      </c>
      <c r="C50" s="387"/>
      <c r="D50" s="367" t="s">
        <v>16</v>
      </c>
      <c r="E50" s="367" t="s">
        <v>277</v>
      </c>
      <c r="F50" s="395" t="s">
        <v>15</v>
      </c>
      <c r="G50" s="376"/>
      <c r="H50" s="376"/>
      <c r="I50" s="375"/>
      <c r="J50" s="127">
        <v>16</v>
      </c>
      <c r="K50" s="131">
        <f>SUM(K52:K60)</f>
        <v>10</v>
      </c>
      <c r="L50" s="364">
        <f t="shared" ref="L50:Q50" si="30">SUM(L52:L60)</f>
        <v>6</v>
      </c>
      <c r="M50" s="364">
        <f t="shared" si="30"/>
        <v>2</v>
      </c>
      <c r="N50" s="364">
        <f t="shared" si="30"/>
        <v>4</v>
      </c>
      <c r="O50" s="364">
        <f t="shared" si="30"/>
        <v>4</v>
      </c>
      <c r="P50" s="364">
        <f t="shared" si="30"/>
        <v>0</v>
      </c>
      <c r="Q50" s="365">
        <f t="shared" si="30"/>
        <v>8</v>
      </c>
      <c r="R50" s="128">
        <f>J50-K50</f>
        <v>6</v>
      </c>
      <c r="S50" s="246">
        <f>S51/28</f>
        <v>7</v>
      </c>
      <c r="T50" s="246"/>
      <c r="U50" s="396"/>
      <c r="V50" s="209"/>
      <c r="W50" s="252"/>
      <c r="AD50" s="263"/>
      <c r="AE50" s="263"/>
      <c r="AF50" s="263"/>
    </row>
    <row r="51" spans="1:32" ht="12.75" customHeight="1" thickBot="1">
      <c r="A51" s="392"/>
      <c r="B51" s="368"/>
      <c r="C51" s="383"/>
      <c r="D51" s="368"/>
      <c r="E51" s="368"/>
      <c r="F51" s="386"/>
      <c r="G51" s="370"/>
      <c r="H51" s="371"/>
      <c r="I51" s="373"/>
      <c r="J51" s="129">
        <v>448</v>
      </c>
      <c r="K51" s="132">
        <f>K50*28</f>
        <v>280</v>
      </c>
      <c r="L51" s="361"/>
      <c r="M51" s="361"/>
      <c r="N51" s="361"/>
      <c r="O51" s="361"/>
      <c r="P51" s="361"/>
      <c r="Q51" s="366"/>
      <c r="R51" s="126">
        <f>J51-K51</f>
        <v>168</v>
      </c>
      <c r="S51" s="248">
        <f>SUM(S52:S60)</f>
        <v>196</v>
      </c>
      <c r="T51" s="16"/>
      <c r="U51" s="397"/>
      <c r="V51" s="77"/>
      <c r="W51" s="253"/>
      <c r="AD51" s="263"/>
      <c r="AE51" s="263"/>
      <c r="AF51" s="263"/>
    </row>
    <row r="52" spans="1:32" ht="25.5" customHeight="1">
      <c r="A52" s="392"/>
      <c r="B52" s="368"/>
      <c r="C52" s="383"/>
      <c r="D52" s="368"/>
      <c r="E52" s="368"/>
      <c r="F52" s="386"/>
      <c r="G52" s="285" t="s">
        <v>131</v>
      </c>
      <c r="H52" s="240" t="s">
        <v>246</v>
      </c>
      <c r="I52" s="29"/>
      <c r="J52" s="297" t="s">
        <v>214</v>
      </c>
      <c r="K52" s="287">
        <f>L52+O52</f>
        <v>2</v>
      </c>
      <c r="L52" s="287">
        <f t="shared" ref="L52:L60" si="31">IF(I52="m",(M52+N52)*2.5*V52/28,(M52+N52)*2*V52/28)</f>
        <v>2</v>
      </c>
      <c r="M52" s="288"/>
      <c r="N52" s="288">
        <v>2</v>
      </c>
      <c r="O52" s="287">
        <f t="shared" ref="O52:O60" si="32">IF(I52="m",(P52+Q52)*1.5*V52/28,(P52+Q52)*1*V52/28)</f>
        <v>0</v>
      </c>
      <c r="P52" s="288"/>
      <c r="Q52" s="288"/>
      <c r="R52" s="25" t="s">
        <v>38</v>
      </c>
      <c r="S52" s="25">
        <v>115</v>
      </c>
      <c r="T52" s="25"/>
      <c r="U52" s="397"/>
      <c r="V52" s="77">
        <v>14</v>
      </c>
      <c r="W52" s="253"/>
      <c r="X52" s="2">
        <f t="shared" ref="X52:X60" si="33">IF(ISNUMBER(SEARCH("Aut",H52)),K52, 0)</f>
        <v>2</v>
      </c>
      <c r="Y52" s="2">
        <f t="shared" ref="Y52:Y60" si="34">IF(ISNUMBER(SEARCH("Tst",H52)),K52, 0)</f>
        <v>2</v>
      </c>
      <c r="Z52" s="2">
        <f t="shared" ref="Z52:Z60" si="35">IF(ISNUMBER(SEARCH("Calc",H52)),K52, 0)</f>
        <v>2</v>
      </c>
      <c r="AA52" s="2">
        <f>SUM(X52:X60)</f>
        <v>8.5</v>
      </c>
      <c r="AB52" s="2">
        <f>SUM(Y52:Y60)</f>
        <v>4</v>
      </c>
      <c r="AC52" s="2">
        <f>SUM(Z52:Z60)</f>
        <v>5.5</v>
      </c>
      <c r="AD52" s="266">
        <f>AA52/9</f>
        <v>0.94444444444444442</v>
      </c>
      <c r="AE52" s="266">
        <f t="shared" ref="AE52:AF52" si="36">AB52/9</f>
        <v>0.44444444444444442</v>
      </c>
      <c r="AF52" s="266">
        <f t="shared" si="36"/>
        <v>0.61111111111111116</v>
      </c>
    </row>
    <row r="53" spans="1:32" ht="12.75" customHeight="1">
      <c r="A53" s="392"/>
      <c r="B53" s="368"/>
      <c r="C53" s="383"/>
      <c r="D53" s="368"/>
      <c r="E53" s="368"/>
      <c r="F53" s="368"/>
      <c r="G53" s="285" t="s">
        <v>132</v>
      </c>
      <c r="H53" s="240" t="s">
        <v>47</v>
      </c>
      <c r="I53" s="29"/>
      <c r="J53" s="240" t="s">
        <v>209</v>
      </c>
      <c r="K53" s="30">
        <f t="shared" ref="K53:K60" si="37">L53+O53</f>
        <v>2</v>
      </c>
      <c r="L53" s="287">
        <f t="shared" si="31"/>
        <v>2</v>
      </c>
      <c r="M53" s="29"/>
      <c r="N53" s="29">
        <v>2</v>
      </c>
      <c r="O53" s="287">
        <f t="shared" si="32"/>
        <v>0</v>
      </c>
      <c r="P53" s="29"/>
      <c r="Q53" s="29"/>
      <c r="R53" s="25" t="s">
        <v>233</v>
      </c>
      <c r="S53" s="25">
        <v>51</v>
      </c>
      <c r="T53" s="25"/>
      <c r="U53" s="397"/>
      <c r="V53" s="77">
        <v>14</v>
      </c>
      <c r="W53" s="253"/>
      <c r="X53" s="2">
        <f t="shared" si="33"/>
        <v>2</v>
      </c>
      <c r="Y53" s="2">
        <f t="shared" si="34"/>
        <v>2</v>
      </c>
      <c r="Z53" s="2">
        <f t="shared" si="35"/>
        <v>2</v>
      </c>
      <c r="AD53" s="263"/>
      <c r="AE53" s="263"/>
      <c r="AF53" s="263"/>
    </row>
    <row r="54" spans="1:32" ht="12.75" customHeight="1">
      <c r="A54" s="392"/>
      <c r="B54" s="368"/>
      <c r="C54" s="383"/>
      <c r="D54" s="368"/>
      <c r="E54" s="368"/>
      <c r="F54" s="368"/>
      <c r="G54" s="285" t="s">
        <v>134</v>
      </c>
      <c r="H54" s="240" t="s">
        <v>55</v>
      </c>
      <c r="I54" s="29"/>
      <c r="J54" s="240" t="s">
        <v>18</v>
      </c>
      <c r="K54" s="30">
        <f t="shared" si="37"/>
        <v>2</v>
      </c>
      <c r="L54" s="287">
        <f t="shared" si="31"/>
        <v>2</v>
      </c>
      <c r="M54" s="29">
        <v>2</v>
      </c>
      <c r="N54" s="29"/>
      <c r="O54" s="287">
        <f t="shared" si="32"/>
        <v>0</v>
      </c>
      <c r="P54" s="29"/>
      <c r="Q54" s="29"/>
      <c r="R54" s="25" t="s">
        <v>235</v>
      </c>
      <c r="S54" s="25">
        <v>30</v>
      </c>
      <c r="T54" s="25"/>
      <c r="U54" s="397"/>
      <c r="V54" s="77">
        <v>14</v>
      </c>
      <c r="W54" s="253"/>
      <c r="X54" s="2">
        <f t="shared" si="33"/>
        <v>2</v>
      </c>
      <c r="Y54" s="2">
        <f t="shared" si="34"/>
        <v>0</v>
      </c>
      <c r="Z54" s="2">
        <f t="shared" si="35"/>
        <v>0</v>
      </c>
      <c r="AD54" s="263"/>
      <c r="AE54" s="263"/>
      <c r="AF54" s="263"/>
    </row>
    <row r="55" spans="1:32" ht="25.5" customHeight="1">
      <c r="A55" s="392"/>
      <c r="B55" s="368"/>
      <c r="C55" s="383"/>
      <c r="D55" s="368"/>
      <c r="E55" s="368"/>
      <c r="F55" s="368"/>
      <c r="G55" s="285" t="s">
        <v>131</v>
      </c>
      <c r="H55" s="240" t="s">
        <v>55</v>
      </c>
      <c r="I55" s="29"/>
      <c r="J55" s="240" t="s">
        <v>63</v>
      </c>
      <c r="K55" s="30">
        <f t="shared" si="37"/>
        <v>0.5</v>
      </c>
      <c r="L55" s="287">
        <f t="shared" si="31"/>
        <v>0</v>
      </c>
      <c r="M55" s="29"/>
      <c r="N55" s="29"/>
      <c r="O55" s="287">
        <f t="shared" si="32"/>
        <v>0.5</v>
      </c>
      <c r="P55" s="29"/>
      <c r="Q55" s="29">
        <v>1</v>
      </c>
      <c r="R55" s="25"/>
      <c r="S55" s="25"/>
      <c r="T55" s="25"/>
      <c r="U55" s="397"/>
      <c r="V55" s="77">
        <v>14</v>
      </c>
      <c r="W55" s="253"/>
      <c r="X55" s="2">
        <f t="shared" si="33"/>
        <v>0.5</v>
      </c>
      <c r="Y55" s="2">
        <f t="shared" si="34"/>
        <v>0</v>
      </c>
      <c r="Z55" s="2">
        <f t="shared" si="35"/>
        <v>0</v>
      </c>
      <c r="AD55" s="263"/>
      <c r="AE55" s="263"/>
      <c r="AF55" s="263"/>
    </row>
    <row r="56" spans="1:32" ht="25.5" customHeight="1">
      <c r="A56" s="392"/>
      <c r="B56" s="368"/>
      <c r="C56" s="383"/>
      <c r="D56" s="368"/>
      <c r="E56" s="368"/>
      <c r="F56" s="368"/>
      <c r="G56" s="285" t="s">
        <v>131</v>
      </c>
      <c r="H56" s="240" t="s">
        <v>55</v>
      </c>
      <c r="I56" s="29"/>
      <c r="J56" s="240" t="s">
        <v>19</v>
      </c>
      <c r="K56" s="30">
        <f t="shared" si="37"/>
        <v>1</v>
      </c>
      <c r="L56" s="287">
        <f t="shared" si="31"/>
        <v>0</v>
      </c>
      <c r="M56" s="29"/>
      <c r="N56" s="29"/>
      <c r="O56" s="287">
        <f t="shared" si="32"/>
        <v>1</v>
      </c>
      <c r="P56" s="29"/>
      <c r="Q56" s="29">
        <v>2</v>
      </c>
      <c r="R56" s="49"/>
      <c r="S56" s="49"/>
      <c r="T56" s="25"/>
      <c r="U56" s="397"/>
      <c r="V56" s="77">
        <v>14</v>
      </c>
      <c r="W56" s="253"/>
      <c r="X56" s="2">
        <f t="shared" si="33"/>
        <v>1</v>
      </c>
      <c r="Y56" s="2">
        <f t="shared" si="34"/>
        <v>0</v>
      </c>
      <c r="Z56" s="2">
        <f t="shared" si="35"/>
        <v>0</v>
      </c>
      <c r="AD56" s="263"/>
      <c r="AE56" s="263"/>
      <c r="AF56" s="263"/>
    </row>
    <row r="57" spans="1:32" ht="25.5" customHeight="1">
      <c r="A57" s="392"/>
      <c r="B57" s="368"/>
      <c r="C57" s="383"/>
      <c r="D57" s="368"/>
      <c r="E57" s="368"/>
      <c r="F57" s="368"/>
      <c r="G57" s="285" t="s">
        <v>131</v>
      </c>
      <c r="H57" s="240" t="s">
        <v>61</v>
      </c>
      <c r="I57" s="29"/>
      <c r="J57" s="290" t="s">
        <v>19</v>
      </c>
      <c r="K57" s="30">
        <f>L57+O57</f>
        <v>1</v>
      </c>
      <c r="L57" s="287">
        <f t="shared" si="31"/>
        <v>0</v>
      </c>
      <c r="M57" s="29"/>
      <c r="N57" s="29"/>
      <c r="O57" s="287">
        <f t="shared" si="32"/>
        <v>1</v>
      </c>
      <c r="P57" s="29"/>
      <c r="Q57" s="29">
        <v>2</v>
      </c>
      <c r="R57" s="49"/>
      <c r="S57" s="49"/>
      <c r="T57" s="25"/>
      <c r="U57" s="397"/>
      <c r="V57" s="77">
        <v>14</v>
      </c>
      <c r="W57" s="253"/>
      <c r="X57" s="2">
        <f t="shared" ref="X57" si="38">IF(ISNUMBER(SEARCH("Aut",H57)),K57, 0)</f>
        <v>0</v>
      </c>
      <c r="Y57" s="2">
        <f t="shared" ref="Y57" si="39">IF(ISNUMBER(SEARCH("Tst",H57)),K57, 0)</f>
        <v>0</v>
      </c>
      <c r="Z57" s="2">
        <f t="shared" ref="Z57" si="40">IF(ISNUMBER(SEARCH("Calc",H57)),K57, 0)</f>
        <v>1</v>
      </c>
      <c r="AD57" s="263"/>
      <c r="AE57" s="263"/>
      <c r="AF57" s="263"/>
    </row>
    <row r="58" spans="1:32" ht="12.75" customHeight="1">
      <c r="A58" s="392"/>
      <c r="B58" s="368"/>
      <c r="C58" s="383"/>
      <c r="D58" s="368"/>
      <c r="E58" s="368"/>
      <c r="F58" s="368"/>
      <c r="G58" s="285" t="s">
        <v>132</v>
      </c>
      <c r="H58" s="240" t="s">
        <v>55</v>
      </c>
      <c r="I58" s="29"/>
      <c r="J58" s="240" t="s">
        <v>135</v>
      </c>
      <c r="K58" s="30">
        <f t="shared" si="37"/>
        <v>0.5</v>
      </c>
      <c r="L58" s="287">
        <f t="shared" si="31"/>
        <v>0</v>
      </c>
      <c r="M58" s="29"/>
      <c r="N58" s="29"/>
      <c r="O58" s="287">
        <f t="shared" si="32"/>
        <v>0.5</v>
      </c>
      <c r="P58" s="29"/>
      <c r="Q58" s="29">
        <v>1</v>
      </c>
      <c r="R58" s="25"/>
      <c r="S58" s="25"/>
      <c r="T58" s="25"/>
      <c r="U58" s="397"/>
      <c r="V58" s="77">
        <v>14</v>
      </c>
      <c r="W58" s="253"/>
      <c r="X58" s="2">
        <f t="shared" si="33"/>
        <v>0.5</v>
      </c>
      <c r="Y58" s="2">
        <f t="shared" si="34"/>
        <v>0</v>
      </c>
      <c r="Z58" s="2">
        <f t="shared" si="35"/>
        <v>0</v>
      </c>
      <c r="AD58" s="263"/>
      <c r="AE58" s="263"/>
      <c r="AF58" s="263"/>
    </row>
    <row r="59" spans="1:32" ht="12.75" customHeight="1">
      <c r="A59" s="392"/>
      <c r="B59" s="368"/>
      <c r="C59" s="383"/>
      <c r="D59" s="368"/>
      <c r="E59" s="368"/>
      <c r="F59" s="368"/>
      <c r="G59" s="285" t="s">
        <v>132</v>
      </c>
      <c r="H59" s="240" t="s">
        <v>61</v>
      </c>
      <c r="I59" s="29"/>
      <c r="J59" s="240" t="s">
        <v>63</v>
      </c>
      <c r="K59" s="30">
        <f t="shared" si="37"/>
        <v>0.5</v>
      </c>
      <c r="L59" s="287">
        <f t="shared" si="31"/>
        <v>0</v>
      </c>
      <c r="M59" s="29"/>
      <c r="N59" s="29"/>
      <c r="O59" s="287">
        <f t="shared" si="32"/>
        <v>0.5</v>
      </c>
      <c r="P59" s="29"/>
      <c r="Q59" s="29">
        <v>1</v>
      </c>
      <c r="R59" s="49"/>
      <c r="S59" s="49"/>
      <c r="T59" s="25"/>
      <c r="U59" s="397"/>
      <c r="V59" s="77">
        <v>14</v>
      </c>
      <c r="W59" s="253"/>
      <c r="X59" s="2">
        <f t="shared" si="33"/>
        <v>0</v>
      </c>
      <c r="Y59" s="2">
        <f t="shared" si="34"/>
        <v>0</v>
      </c>
      <c r="Z59" s="2">
        <f t="shared" si="35"/>
        <v>0.5</v>
      </c>
      <c r="AD59" s="263"/>
      <c r="AE59" s="263"/>
      <c r="AF59" s="263"/>
    </row>
    <row r="60" spans="1:32" ht="12.75" customHeight="1" thickBot="1">
      <c r="A60" s="393"/>
      <c r="B60" s="380"/>
      <c r="C60" s="394"/>
      <c r="D60" s="380"/>
      <c r="E60" s="380"/>
      <c r="F60" s="380"/>
      <c r="G60" s="293" t="s">
        <v>132</v>
      </c>
      <c r="H60" s="294" t="s">
        <v>55</v>
      </c>
      <c r="I60" s="295"/>
      <c r="J60" s="294" t="s">
        <v>63</v>
      </c>
      <c r="K60" s="296">
        <f t="shared" si="37"/>
        <v>0.5</v>
      </c>
      <c r="L60" s="287">
        <f t="shared" si="31"/>
        <v>0</v>
      </c>
      <c r="M60" s="295"/>
      <c r="N60" s="295"/>
      <c r="O60" s="287">
        <f t="shared" si="32"/>
        <v>0.5</v>
      </c>
      <c r="P60" s="295"/>
      <c r="Q60" s="295">
        <v>1</v>
      </c>
      <c r="R60" s="110"/>
      <c r="S60" s="110"/>
      <c r="T60" s="110"/>
      <c r="U60" s="398"/>
      <c r="V60" s="210">
        <v>14</v>
      </c>
      <c r="W60" s="254"/>
      <c r="X60" s="2">
        <f t="shared" si="33"/>
        <v>0.5</v>
      </c>
      <c r="Y60" s="2">
        <f t="shared" si="34"/>
        <v>0</v>
      </c>
      <c r="Z60" s="2">
        <f t="shared" si="35"/>
        <v>0</v>
      </c>
      <c r="AD60" s="263"/>
      <c r="AE60" s="263"/>
      <c r="AF60" s="263"/>
    </row>
    <row r="61" spans="1:32" ht="12.75" customHeight="1">
      <c r="A61" s="381">
        <v>7</v>
      </c>
      <c r="B61" s="381" t="s">
        <v>16</v>
      </c>
      <c r="C61" s="382"/>
      <c r="D61" s="381" t="s">
        <v>16</v>
      </c>
      <c r="E61" s="381" t="s">
        <v>257</v>
      </c>
      <c r="F61" s="429" t="s">
        <v>15</v>
      </c>
      <c r="G61" s="369"/>
      <c r="H61" s="369"/>
      <c r="I61" s="372"/>
      <c r="J61" s="244">
        <v>16</v>
      </c>
      <c r="K61" s="245">
        <f t="shared" ref="K61:Q61" si="41">SUM(K63:K69)</f>
        <v>10</v>
      </c>
      <c r="L61" s="360">
        <f t="shared" si="41"/>
        <v>6</v>
      </c>
      <c r="M61" s="360">
        <f t="shared" si="41"/>
        <v>4</v>
      </c>
      <c r="N61" s="360">
        <f t="shared" si="41"/>
        <v>2</v>
      </c>
      <c r="O61" s="360">
        <f t="shared" si="41"/>
        <v>4</v>
      </c>
      <c r="P61" s="360">
        <f t="shared" si="41"/>
        <v>2</v>
      </c>
      <c r="Q61" s="379">
        <f t="shared" si="41"/>
        <v>6</v>
      </c>
      <c r="R61" s="251">
        <f>J61-K61</f>
        <v>6</v>
      </c>
      <c r="S61" s="249">
        <f>S62/28</f>
        <v>7</v>
      </c>
      <c r="T61" s="249"/>
      <c r="U61" s="247"/>
      <c r="V61" s="211"/>
      <c r="W61" s="237"/>
      <c r="AD61" s="263"/>
      <c r="AE61" s="263"/>
      <c r="AF61" s="263"/>
    </row>
    <row r="62" spans="1:32" ht="13.5" customHeight="1" thickBot="1">
      <c r="A62" s="368"/>
      <c r="B62" s="368"/>
      <c r="C62" s="383"/>
      <c r="D62" s="368"/>
      <c r="E62" s="368"/>
      <c r="F62" s="386"/>
      <c r="G62" s="370"/>
      <c r="H62" s="371"/>
      <c r="I62" s="373"/>
      <c r="J62" s="129">
        <v>448</v>
      </c>
      <c r="K62" s="132">
        <f>K61*28</f>
        <v>280</v>
      </c>
      <c r="L62" s="361"/>
      <c r="M62" s="361"/>
      <c r="N62" s="361"/>
      <c r="O62" s="361"/>
      <c r="P62" s="361"/>
      <c r="Q62" s="366"/>
      <c r="R62" s="126">
        <f>J62-K62</f>
        <v>168</v>
      </c>
      <c r="S62" s="108">
        <f>SUM(S63:S69)</f>
        <v>196</v>
      </c>
      <c r="T62" s="16"/>
      <c r="U62" s="239"/>
      <c r="V62" s="211"/>
      <c r="W62" s="237"/>
      <c r="AD62" s="263"/>
      <c r="AE62" s="263"/>
      <c r="AF62" s="263"/>
    </row>
    <row r="63" spans="1:32" ht="25.5" customHeight="1">
      <c r="A63" s="368"/>
      <c r="B63" s="368"/>
      <c r="C63" s="383"/>
      <c r="D63" s="368"/>
      <c r="E63" s="368"/>
      <c r="F63" s="386"/>
      <c r="G63" s="285" t="s">
        <v>148</v>
      </c>
      <c r="H63" s="240" t="s">
        <v>137</v>
      </c>
      <c r="I63" s="29"/>
      <c r="J63" s="327" t="s">
        <v>215</v>
      </c>
      <c r="K63" s="287">
        <f t="shared" ref="K63:K69" si="42">L63+O63</f>
        <v>2</v>
      </c>
      <c r="L63" s="287">
        <f>IF(I63="m",(M63+N63)*2.5*V63/28,(M63+N63)*2*V63/28)</f>
        <v>2</v>
      </c>
      <c r="M63" s="288">
        <v>2</v>
      </c>
      <c r="N63" s="288"/>
      <c r="O63" s="287">
        <f>IF(I63="m",(P63+Q63)*1.5*V63/28,(P63+Q63)*1*V63/28)</f>
        <v>0</v>
      </c>
      <c r="P63" s="288"/>
      <c r="Q63" s="288"/>
      <c r="R63" s="25" t="s">
        <v>38</v>
      </c>
      <c r="S63" s="25">
        <v>112</v>
      </c>
      <c r="T63" s="25"/>
      <c r="U63" s="239"/>
      <c r="V63" s="211">
        <v>14</v>
      </c>
      <c r="W63" s="237"/>
      <c r="X63" s="2">
        <f>IF(ISNUMBER(SEARCH("Aut",H63)),K63, 0)</f>
        <v>2</v>
      </c>
      <c r="Y63" s="2">
        <f>IF(ISNUMBER(SEARCH("Tst",H63)),K63, 0)</f>
        <v>0</v>
      </c>
      <c r="Z63" s="2">
        <f>IF(ISNUMBER(SEARCH("Calc",H63)),K63, 0)</f>
        <v>2</v>
      </c>
      <c r="AA63" s="2">
        <f>SUM(X63:X69)</f>
        <v>8</v>
      </c>
      <c r="AB63" s="2">
        <f>SUM(Y63:Y69)</f>
        <v>0</v>
      </c>
      <c r="AC63" s="2">
        <f>SUM(Z63:Z69)</f>
        <v>5</v>
      </c>
      <c r="AD63" s="266">
        <f>AA63/9</f>
        <v>0.88888888888888884</v>
      </c>
      <c r="AE63" s="266">
        <f>AB63/9</f>
        <v>0</v>
      </c>
      <c r="AF63" s="266">
        <f>AC63/9</f>
        <v>0.55555555555555558</v>
      </c>
    </row>
    <row r="64" spans="1:32" ht="25.5" customHeight="1">
      <c r="A64" s="368"/>
      <c r="B64" s="368"/>
      <c r="C64" s="383"/>
      <c r="D64" s="368"/>
      <c r="E64" s="368"/>
      <c r="F64" s="386"/>
      <c r="G64" s="243" t="s">
        <v>149</v>
      </c>
      <c r="H64" s="240" t="s">
        <v>137</v>
      </c>
      <c r="I64" s="29"/>
      <c r="J64" s="297" t="s">
        <v>53</v>
      </c>
      <c r="K64" s="30">
        <f t="shared" si="42"/>
        <v>2</v>
      </c>
      <c r="L64" s="287">
        <f t="shared" ref="L64:L69" si="43">IF(I64="m",(M64+N64)*2.5*V64/28,(M64+N64)*2*V64/28)</f>
        <v>2</v>
      </c>
      <c r="M64" s="29"/>
      <c r="N64" s="29">
        <v>2</v>
      </c>
      <c r="O64" s="287">
        <f t="shared" ref="O64:O69" si="44">IF(I64="m",(P64+Q64)*1.5*V64/28,(P64+Q64)*1*V64/28)</f>
        <v>0</v>
      </c>
      <c r="P64" s="29"/>
      <c r="Q64" s="29"/>
      <c r="R64" s="25" t="s">
        <v>233</v>
      </c>
      <c r="S64" s="25">
        <v>39</v>
      </c>
      <c r="T64" s="25"/>
      <c r="U64" s="239"/>
      <c r="V64" s="211">
        <v>14</v>
      </c>
      <c r="W64" s="237"/>
      <c r="X64" s="2">
        <f>IF(ISNUMBER(SEARCH("Aut",H64)),K64, 0)</f>
        <v>2</v>
      </c>
      <c r="Y64" s="2">
        <f>IF(ISNUMBER(SEARCH("Tst",H64)),K64, 0)</f>
        <v>0</v>
      </c>
      <c r="Z64" s="2">
        <f>IF(ISNUMBER(SEARCH("Calc",H64)),K64, 0)</f>
        <v>2</v>
      </c>
      <c r="AD64" s="268"/>
      <c r="AE64" s="268"/>
      <c r="AF64" s="268"/>
    </row>
    <row r="65" spans="1:32" ht="15" customHeight="1">
      <c r="A65" s="368"/>
      <c r="B65" s="368"/>
      <c r="C65" s="383"/>
      <c r="D65" s="368"/>
      <c r="E65" s="368"/>
      <c r="F65" s="368"/>
      <c r="G65" s="304" t="s">
        <v>150</v>
      </c>
      <c r="H65" s="240" t="s">
        <v>55</v>
      </c>
      <c r="I65" s="29"/>
      <c r="J65" s="240" t="s">
        <v>24</v>
      </c>
      <c r="K65" s="30">
        <f t="shared" si="42"/>
        <v>2</v>
      </c>
      <c r="L65" s="287">
        <f t="shared" si="43"/>
        <v>2</v>
      </c>
      <c r="M65" s="29">
        <v>2</v>
      </c>
      <c r="N65" s="29"/>
      <c r="O65" s="287">
        <f t="shared" si="44"/>
        <v>0</v>
      </c>
      <c r="P65" s="29"/>
      <c r="Q65" s="29"/>
      <c r="R65" s="25" t="s">
        <v>234</v>
      </c>
      <c r="S65" s="25">
        <v>45</v>
      </c>
      <c r="T65" s="25"/>
      <c r="U65" s="239"/>
      <c r="V65" s="211">
        <v>14</v>
      </c>
      <c r="W65" s="237"/>
      <c r="X65" s="2">
        <f t="shared" ref="X65:X66" si="45">IF(ISNUMBER(SEARCH("Aut",H65)),K65, 0)</f>
        <v>2</v>
      </c>
      <c r="Y65" s="2">
        <f t="shared" ref="Y65:Y66" si="46">IF(ISNUMBER(SEARCH("Tst",H65)),K65, 0)</f>
        <v>0</v>
      </c>
      <c r="Z65" s="2">
        <f t="shared" ref="Z65:Z66" si="47">IF(ISNUMBER(SEARCH("Calc",H65)),K65, 0)</f>
        <v>0</v>
      </c>
      <c r="AD65" s="268"/>
      <c r="AE65" s="268"/>
      <c r="AF65" s="268"/>
    </row>
    <row r="66" spans="1:32" ht="25.5" customHeight="1">
      <c r="A66" s="368"/>
      <c r="B66" s="368"/>
      <c r="C66" s="383"/>
      <c r="D66" s="368"/>
      <c r="E66" s="368"/>
      <c r="F66" s="368"/>
      <c r="G66" s="328" t="s">
        <v>149</v>
      </c>
      <c r="H66" s="240" t="s">
        <v>55</v>
      </c>
      <c r="I66" s="29"/>
      <c r="J66" s="240" t="s">
        <v>126</v>
      </c>
      <c r="K66" s="30">
        <f t="shared" si="42"/>
        <v>2</v>
      </c>
      <c r="L66" s="287">
        <f t="shared" si="43"/>
        <v>0</v>
      </c>
      <c r="M66" s="29"/>
      <c r="N66" s="29"/>
      <c r="O66" s="287">
        <f t="shared" si="44"/>
        <v>2</v>
      </c>
      <c r="P66" s="240"/>
      <c r="Q66" s="240">
        <v>4</v>
      </c>
      <c r="R66" s="212"/>
      <c r="S66" s="212"/>
      <c r="T66" s="25"/>
      <c r="U66" s="261"/>
      <c r="V66" s="211">
        <v>14</v>
      </c>
      <c r="W66" s="237"/>
      <c r="X66" s="2">
        <f t="shared" si="45"/>
        <v>2</v>
      </c>
      <c r="Y66" s="2">
        <f t="shared" si="46"/>
        <v>0</v>
      </c>
      <c r="Z66" s="2">
        <f t="shared" si="47"/>
        <v>0</v>
      </c>
      <c r="AD66" s="268"/>
      <c r="AE66" s="268"/>
      <c r="AF66" s="268"/>
    </row>
    <row r="67" spans="1:32" ht="25.5" customHeight="1">
      <c r="A67" s="368"/>
      <c r="B67" s="368"/>
      <c r="C67" s="383"/>
      <c r="D67" s="368"/>
      <c r="E67" s="368"/>
      <c r="F67" s="368"/>
      <c r="G67" s="243" t="s">
        <v>251</v>
      </c>
      <c r="H67" s="240" t="s">
        <v>61</v>
      </c>
      <c r="I67" s="29"/>
      <c r="J67" s="240" t="s">
        <v>126</v>
      </c>
      <c r="K67" s="30">
        <f>L67+O67</f>
        <v>1</v>
      </c>
      <c r="L67" s="287">
        <f t="shared" si="43"/>
        <v>0</v>
      </c>
      <c r="M67" s="29"/>
      <c r="N67" s="29"/>
      <c r="O67" s="287">
        <f t="shared" si="44"/>
        <v>1</v>
      </c>
      <c r="P67" s="240"/>
      <c r="Q67" s="240">
        <v>2</v>
      </c>
      <c r="R67" s="212"/>
      <c r="S67" s="212"/>
      <c r="T67" s="25"/>
      <c r="U67" s="278"/>
      <c r="V67" s="211">
        <v>14</v>
      </c>
      <c r="W67" s="237"/>
      <c r="X67" s="2">
        <f t="shared" ref="X67" si="48">IF(ISNUMBER(SEARCH("Aut",H67)),K67, 0)</f>
        <v>0</v>
      </c>
      <c r="Y67" s="2">
        <f t="shared" ref="Y67" si="49">IF(ISNUMBER(SEARCH("Tst",H67)),K67, 0)</f>
        <v>0</v>
      </c>
      <c r="Z67" s="2">
        <f t="shared" ref="Z67" si="50">IF(ISNUMBER(SEARCH("Calc",H67)),K67, 0)</f>
        <v>1</v>
      </c>
      <c r="AD67" s="268"/>
      <c r="AE67" s="268"/>
      <c r="AF67" s="268"/>
    </row>
    <row r="68" spans="1:32" ht="15" customHeight="1">
      <c r="A68" s="368"/>
      <c r="B68" s="368"/>
      <c r="C68" s="383"/>
      <c r="D68" s="368"/>
      <c r="E68" s="368"/>
      <c r="F68" s="368"/>
      <c r="G68" s="285" t="s">
        <v>223</v>
      </c>
      <c r="H68" s="240" t="s">
        <v>55</v>
      </c>
      <c r="I68" s="29"/>
      <c r="J68" s="240" t="s">
        <v>129</v>
      </c>
      <c r="K68" s="30">
        <f>L68+O68</f>
        <v>0.5</v>
      </c>
      <c r="L68" s="287">
        <f t="shared" si="43"/>
        <v>0</v>
      </c>
      <c r="M68" s="29"/>
      <c r="N68" s="29"/>
      <c r="O68" s="287">
        <f t="shared" si="44"/>
        <v>0.5</v>
      </c>
      <c r="P68" s="240">
        <v>1</v>
      </c>
      <c r="Q68" s="240"/>
      <c r="R68" s="212"/>
      <c r="S68" s="212"/>
      <c r="T68" s="25"/>
      <c r="U68" s="261"/>
      <c r="V68" s="211">
        <v>14</v>
      </c>
      <c r="W68" s="237"/>
      <c r="X68" s="2">
        <f>IF(ISNUMBER(SEARCH("Aut",#REF!)),#REF!, 0)</f>
        <v>0</v>
      </c>
      <c r="Y68" s="2">
        <f>IF(ISNUMBER(SEARCH("Tst",#REF!)),#REF!, 0)</f>
        <v>0</v>
      </c>
      <c r="Z68" s="2">
        <f>IF(ISNUMBER(SEARCH("Calc",#REF!)),#REF!, 0)</f>
        <v>0</v>
      </c>
      <c r="AD68" s="268"/>
      <c r="AE68" s="268"/>
      <c r="AF68" s="268"/>
    </row>
    <row r="69" spans="1:32" ht="13.5" customHeight="1" thickBot="1">
      <c r="A69" s="368"/>
      <c r="B69" s="368"/>
      <c r="C69" s="383"/>
      <c r="D69" s="368"/>
      <c r="E69" s="368"/>
      <c r="F69" s="368"/>
      <c r="G69" s="285" t="s">
        <v>223</v>
      </c>
      <c r="H69" s="240" t="s">
        <v>55</v>
      </c>
      <c r="I69" s="29"/>
      <c r="J69" s="240" t="s">
        <v>129</v>
      </c>
      <c r="K69" s="30">
        <f t="shared" si="42"/>
        <v>0.5</v>
      </c>
      <c r="L69" s="287">
        <f t="shared" si="43"/>
        <v>0</v>
      </c>
      <c r="M69" s="29"/>
      <c r="N69" s="29"/>
      <c r="O69" s="287">
        <f t="shared" si="44"/>
        <v>0.5</v>
      </c>
      <c r="P69" s="240">
        <v>1</v>
      </c>
      <c r="Q69" s="240"/>
      <c r="T69" s="25"/>
      <c r="U69" s="239"/>
      <c r="V69" s="211">
        <v>14</v>
      </c>
      <c r="W69" s="237"/>
      <c r="X69" s="2">
        <f>IF(ISNUMBER(SEARCH("Aut",#REF!)),#REF!, 0)</f>
        <v>0</v>
      </c>
      <c r="Y69" s="2">
        <f>IF(ISNUMBER(SEARCH("Tst",#REF!)),#REF!, 0)</f>
        <v>0</v>
      </c>
      <c r="Z69" s="2">
        <f>IF(ISNUMBER(SEARCH("Calc",#REF!)),#REF!, 0)</f>
        <v>0</v>
      </c>
      <c r="AD69" s="268"/>
      <c r="AE69" s="268"/>
      <c r="AF69" s="268"/>
    </row>
    <row r="70" spans="1:32" ht="12.75" customHeight="1">
      <c r="A70" s="367">
        <v>8</v>
      </c>
      <c r="B70" s="384" t="s">
        <v>16</v>
      </c>
      <c r="C70" s="367" t="s">
        <v>118</v>
      </c>
      <c r="D70" s="367"/>
      <c r="E70" s="367"/>
      <c r="F70" s="367"/>
      <c r="G70" s="376"/>
      <c r="H70" s="376"/>
      <c r="I70" s="375"/>
      <c r="J70" s="127">
        <v>16</v>
      </c>
      <c r="K70" s="131" t="e">
        <f t="shared" ref="K70:Q70" si="51">SUM(K72:K88)</f>
        <v>#REF!</v>
      </c>
      <c r="L70" s="364" t="e">
        <f t="shared" si="51"/>
        <v>#REF!</v>
      </c>
      <c r="M70" s="364">
        <f t="shared" si="51"/>
        <v>4</v>
      </c>
      <c r="N70" s="364">
        <f t="shared" si="51"/>
        <v>2</v>
      </c>
      <c r="O70" s="364" t="e">
        <f t="shared" si="51"/>
        <v>#REF!</v>
      </c>
      <c r="P70" s="364">
        <f t="shared" si="51"/>
        <v>3</v>
      </c>
      <c r="Q70" s="365">
        <f t="shared" si="51"/>
        <v>17</v>
      </c>
      <c r="R70" s="128" t="e">
        <f>J70-K70</f>
        <v>#REF!</v>
      </c>
      <c r="S70" s="233">
        <f>S71/28</f>
        <v>0</v>
      </c>
      <c r="T70" s="233"/>
      <c r="U70" s="362"/>
      <c r="V70" s="209"/>
      <c r="W70" s="106"/>
      <c r="AD70" s="263"/>
      <c r="AE70" s="263"/>
      <c r="AF70" s="263"/>
    </row>
    <row r="71" spans="1:32" ht="12.75" customHeight="1">
      <c r="A71" s="368"/>
      <c r="B71" s="385"/>
      <c r="C71" s="368"/>
      <c r="D71" s="368"/>
      <c r="E71" s="368"/>
      <c r="F71" s="381"/>
      <c r="G71" s="390"/>
      <c r="H71" s="388"/>
      <c r="I71" s="389"/>
      <c r="J71" s="241">
        <v>448</v>
      </c>
      <c r="K71" s="242" t="e">
        <f>K70*28</f>
        <v>#REF!</v>
      </c>
      <c r="L71" s="374"/>
      <c r="M71" s="374"/>
      <c r="N71" s="374"/>
      <c r="O71" s="374"/>
      <c r="P71" s="374"/>
      <c r="Q71" s="377"/>
      <c r="R71" s="126" t="e">
        <f>J71-K71</f>
        <v>#REF!</v>
      </c>
      <c r="S71" s="108">
        <f>SUM(S72:S87)</f>
        <v>0</v>
      </c>
      <c r="T71" s="16"/>
      <c r="U71" s="363"/>
      <c r="V71" s="77"/>
      <c r="W71" s="49"/>
      <c r="AD71" s="263"/>
      <c r="AE71" s="263"/>
      <c r="AF71" s="263"/>
    </row>
    <row r="72" spans="1:32" ht="12.75" customHeight="1">
      <c r="A72" s="368"/>
      <c r="B72" s="385"/>
      <c r="C72" s="368"/>
      <c r="D72" s="368"/>
      <c r="E72" s="386"/>
      <c r="F72" s="120" t="s">
        <v>289</v>
      </c>
      <c r="G72" s="305" t="s">
        <v>144</v>
      </c>
      <c r="H72" s="240" t="s">
        <v>166</v>
      </c>
      <c r="I72" s="29"/>
      <c r="J72" s="240" t="s">
        <v>53</v>
      </c>
      <c r="K72" s="30">
        <f>L72+O72</f>
        <v>2</v>
      </c>
      <c r="L72" s="30">
        <f t="shared" ref="L72:L87" si="52">IF(I72="m",(M72+N72)*2.5*V72/28,(M72+N72)*2*V72/28)</f>
        <v>2</v>
      </c>
      <c r="M72" s="29"/>
      <c r="N72" s="29">
        <v>2</v>
      </c>
      <c r="O72" s="30">
        <f t="shared" ref="O72:O88" si="53">IF(I72="m",(P72+Q72)*1.5*V72/28,(P72+Q72)*1*V72/28)</f>
        <v>0</v>
      </c>
      <c r="P72" s="29"/>
      <c r="Q72" s="29"/>
      <c r="R72" s="250"/>
      <c r="S72" s="25"/>
      <c r="T72" s="25"/>
      <c r="U72" s="363"/>
      <c r="V72" s="77">
        <v>14</v>
      </c>
      <c r="W72" s="49"/>
      <c r="X72" s="2">
        <f t="shared" ref="X72:X88" si="54">IF(ISNUMBER(SEARCH("Aut",H72)),K72, 0)</f>
        <v>2</v>
      </c>
      <c r="Y72" s="2">
        <f t="shared" ref="Y72:Y88" si="55">IF(ISNUMBER(SEARCH("Tst",H72)),K72, 0)</f>
        <v>0</v>
      </c>
      <c r="Z72" s="2">
        <f t="shared" ref="Z72:Z88" si="56">IF(ISNUMBER(SEARCH("Calc",H72)),K72, 0)</f>
        <v>0</v>
      </c>
      <c r="AA72" s="2">
        <f>SUM(X72:X88)</f>
        <v>6.5</v>
      </c>
      <c r="AB72" s="2">
        <f>SUM(Y72:Y88)</f>
        <v>4.5</v>
      </c>
      <c r="AC72" s="2">
        <f>SUM(Z72:Z88)</f>
        <v>0.5</v>
      </c>
      <c r="AD72" s="267">
        <f>AA72/16</f>
        <v>0.40625</v>
      </c>
      <c r="AE72" s="267">
        <f>AB72/16</f>
        <v>0.28125</v>
      </c>
      <c r="AF72" s="267">
        <f>AC72/16</f>
        <v>3.125E-2</v>
      </c>
    </row>
    <row r="73" spans="1:32" ht="12.75" customHeight="1" thickBot="1">
      <c r="A73" s="368"/>
      <c r="B73" s="385"/>
      <c r="C73" s="368"/>
      <c r="D73" s="368"/>
      <c r="E73" s="386"/>
      <c r="F73" s="120" t="s">
        <v>289</v>
      </c>
      <c r="G73" s="285" t="s">
        <v>145</v>
      </c>
      <c r="H73" s="240" t="s">
        <v>55</v>
      </c>
      <c r="I73" s="29"/>
      <c r="J73" s="240" t="s">
        <v>24</v>
      </c>
      <c r="K73" s="30">
        <f t="shared" ref="K73:K87" si="57">L73+O73</f>
        <v>2</v>
      </c>
      <c r="L73" s="30">
        <f t="shared" si="52"/>
        <v>2</v>
      </c>
      <c r="M73" s="29">
        <v>2</v>
      </c>
      <c r="N73" s="29"/>
      <c r="O73" s="30">
        <f t="shared" si="53"/>
        <v>0</v>
      </c>
      <c r="P73" s="29"/>
      <c r="Q73" s="29"/>
      <c r="R73" s="250"/>
      <c r="S73" s="25"/>
      <c r="T73" s="25"/>
      <c r="U73" s="363"/>
      <c r="V73" s="77">
        <v>14</v>
      </c>
      <c r="W73" s="49"/>
      <c r="X73" s="2">
        <f t="shared" ref="X73:X78" si="58">IF(ISNUMBER(SEARCH("Aut",H73)),K73, 0)</f>
        <v>2</v>
      </c>
      <c r="Y73" s="2">
        <f t="shared" ref="Y73:Y78" si="59">IF(ISNUMBER(SEARCH("Tst",H73)),K73, 0)</f>
        <v>0</v>
      </c>
      <c r="Z73" s="2">
        <f t="shared" ref="Z73:Z78" si="60">IF(ISNUMBER(SEARCH("Calc",H73)),K73, 0)</f>
        <v>0</v>
      </c>
      <c r="AD73" s="263"/>
      <c r="AE73" s="263"/>
      <c r="AF73" s="263"/>
    </row>
    <row r="74" spans="1:32" ht="25.5" customHeight="1">
      <c r="A74" s="368"/>
      <c r="B74" s="385"/>
      <c r="C74" s="368"/>
      <c r="D74" s="368"/>
      <c r="E74" s="386"/>
      <c r="F74" s="120" t="s">
        <v>289</v>
      </c>
      <c r="G74" s="289" t="s">
        <v>191</v>
      </c>
      <c r="H74" s="313" t="s">
        <v>49</v>
      </c>
      <c r="I74" s="29"/>
      <c r="J74" s="299" t="s">
        <v>23</v>
      </c>
      <c r="K74" s="287">
        <f t="shared" ref="K74:K83" si="61">L74+O74</f>
        <v>2</v>
      </c>
      <c r="L74" s="287">
        <f>IF(I74="m",(M74+N74)*2.5*V74/28,(M74+N74)*2*V74/28)</f>
        <v>2</v>
      </c>
      <c r="M74" s="323">
        <v>2</v>
      </c>
      <c r="N74" s="323"/>
      <c r="O74" s="287">
        <f>IF(I74="m",(P74+Q74)*1.5*V74/28,(P74+Q74)*1*V74/28)</f>
        <v>0</v>
      </c>
      <c r="P74" s="323"/>
      <c r="Q74" s="240"/>
      <c r="R74" s="250"/>
      <c r="S74" s="25"/>
      <c r="T74" s="25"/>
      <c r="U74" s="363"/>
      <c r="V74" s="77">
        <v>14</v>
      </c>
      <c r="W74" s="49"/>
      <c r="X74" s="2">
        <f t="shared" si="58"/>
        <v>0</v>
      </c>
      <c r="Y74" s="2">
        <f t="shared" si="59"/>
        <v>2</v>
      </c>
      <c r="Z74" s="2">
        <f t="shared" si="60"/>
        <v>0</v>
      </c>
      <c r="AD74" s="263"/>
      <c r="AE74" s="263"/>
      <c r="AF74" s="263"/>
    </row>
    <row r="75" spans="1:32" ht="25.5" customHeight="1">
      <c r="A75" s="368"/>
      <c r="B75" s="385"/>
      <c r="C75" s="368"/>
      <c r="D75" s="368"/>
      <c r="E75" s="386"/>
      <c r="F75" s="120" t="s">
        <v>289</v>
      </c>
      <c r="G75" s="331" t="s">
        <v>144</v>
      </c>
      <c r="H75" s="290" t="s">
        <v>146</v>
      </c>
      <c r="I75" s="29"/>
      <c r="J75" s="290" t="s">
        <v>147</v>
      </c>
      <c r="K75" s="30">
        <f t="shared" si="61"/>
        <v>1</v>
      </c>
      <c r="L75" s="30">
        <f>IF(I75="m",(M75+N75)*2.5*V75/28,(M75+N75)*2*V75/28)</f>
        <v>0</v>
      </c>
      <c r="M75" s="29"/>
      <c r="N75" s="29"/>
      <c r="O75" s="30">
        <f>IF(I75="m",(P75+Q75)*1.5*V75/28,(P75+Q75)*1*V75/28)</f>
        <v>1</v>
      </c>
      <c r="P75" s="29"/>
      <c r="Q75" s="29">
        <v>2</v>
      </c>
      <c r="R75" s="258"/>
      <c r="S75" s="49"/>
      <c r="T75" s="25"/>
      <c r="U75" s="363"/>
      <c r="V75" s="77">
        <v>14</v>
      </c>
      <c r="W75" s="49"/>
      <c r="X75" s="2">
        <f t="shared" si="58"/>
        <v>0</v>
      </c>
      <c r="Y75" s="2">
        <f t="shared" si="59"/>
        <v>0</v>
      </c>
      <c r="Z75" s="2">
        <f t="shared" si="60"/>
        <v>0</v>
      </c>
      <c r="AD75" s="263"/>
      <c r="AE75" s="263"/>
      <c r="AF75" s="263"/>
    </row>
    <row r="76" spans="1:32" ht="25.5" customHeight="1">
      <c r="A76" s="368"/>
      <c r="B76" s="385"/>
      <c r="C76" s="368"/>
      <c r="D76" s="368"/>
      <c r="E76" s="386"/>
      <c r="F76" s="120" t="s">
        <v>289</v>
      </c>
      <c r="G76" s="305" t="s">
        <v>144</v>
      </c>
      <c r="H76" s="240" t="s">
        <v>55</v>
      </c>
      <c r="I76" s="29"/>
      <c r="J76" s="240" t="s">
        <v>126</v>
      </c>
      <c r="K76" s="30">
        <f t="shared" si="61"/>
        <v>2</v>
      </c>
      <c r="L76" s="30">
        <f t="shared" ref="L76:L77" si="62">IF(I76="m",(M76+N76)*2.5*V76/28,(M76+N76)*2*V76/28)</f>
        <v>0</v>
      </c>
      <c r="M76" s="29"/>
      <c r="N76" s="29"/>
      <c r="O76" s="30">
        <f t="shared" ref="O76:O81" si="63">IF(I76="m",(P76+Q76)*1.5*V76/28,(P76+Q76)*1*V76/28)</f>
        <v>2</v>
      </c>
      <c r="P76" s="240"/>
      <c r="Q76" s="240">
        <v>4</v>
      </c>
      <c r="R76" s="258"/>
      <c r="S76" s="49"/>
      <c r="T76" s="25"/>
      <c r="U76" s="363"/>
      <c r="V76" s="77">
        <v>14</v>
      </c>
      <c r="W76" s="49"/>
      <c r="X76" s="2">
        <f t="shared" si="58"/>
        <v>2</v>
      </c>
      <c r="Y76" s="2">
        <f t="shared" si="59"/>
        <v>0</v>
      </c>
      <c r="Z76" s="2">
        <f t="shared" si="60"/>
        <v>0</v>
      </c>
      <c r="AD76" s="263"/>
      <c r="AE76" s="263"/>
      <c r="AF76" s="263"/>
    </row>
    <row r="77" spans="1:32">
      <c r="A77" s="368"/>
      <c r="B77" s="385"/>
      <c r="C77" s="368"/>
      <c r="D77" s="368"/>
      <c r="E77" s="386"/>
      <c r="F77" s="120" t="s">
        <v>289</v>
      </c>
      <c r="G77" s="305" t="s">
        <v>184</v>
      </c>
      <c r="H77" s="240" t="s">
        <v>49</v>
      </c>
      <c r="I77" s="29"/>
      <c r="J77" s="240" t="s">
        <v>129</v>
      </c>
      <c r="K77" s="30">
        <f t="shared" si="61"/>
        <v>0.5</v>
      </c>
      <c r="L77" s="30">
        <f t="shared" si="62"/>
        <v>0</v>
      </c>
      <c r="M77" s="240"/>
      <c r="N77" s="240"/>
      <c r="O77" s="30">
        <f t="shared" si="63"/>
        <v>0.5</v>
      </c>
      <c r="P77" s="240">
        <v>1</v>
      </c>
      <c r="Q77" s="240"/>
      <c r="R77" s="258"/>
      <c r="S77" s="49"/>
      <c r="T77" s="25"/>
      <c r="U77" s="363"/>
      <c r="V77" s="77">
        <v>14</v>
      </c>
      <c r="W77" s="49"/>
      <c r="X77" s="2">
        <f t="shared" si="58"/>
        <v>0</v>
      </c>
      <c r="Y77" s="2">
        <f t="shared" si="59"/>
        <v>0.5</v>
      </c>
      <c r="Z77" s="2">
        <f t="shared" si="60"/>
        <v>0</v>
      </c>
      <c r="AD77" s="263"/>
      <c r="AE77" s="263"/>
      <c r="AF77" s="263"/>
    </row>
    <row r="78" spans="1:32">
      <c r="A78" s="368"/>
      <c r="B78" s="385"/>
      <c r="C78" s="368"/>
      <c r="D78" s="368"/>
      <c r="E78" s="386"/>
      <c r="F78" s="120" t="s">
        <v>289</v>
      </c>
      <c r="G78" s="305" t="s">
        <v>180</v>
      </c>
      <c r="H78" s="240" t="s">
        <v>49</v>
      </c>
      <c r="I78" s="29"/>
      <c r="J78" s="240" t="s">
        <v>147</v>
      </c>
      <c r="K78" s="30">
        <f t="shared" si="61"/>
        <v>0.5</v>
      </c>
      <c r="L78" s="30">
        <f>IF(I78="m",(M78+N78)*2.5*V93/28,(M78+N78)*2*V93/28)</f>
        <v>0</v>
      </c>
      <c r="M78" s="240"/>
      <c r="N78" s="240"/>
      <c r="O78" s="30">
        <f t="shared" si="63"/>
        <v>0.5</v>
      </c>
      <c r="P78" s="240">
        <v>1</v>
      </c>
      <c r="Q78" s="243"/>
      <c r="R78" s="258"/>
      <c r="S78" s="49"/>
      <c r="T78" s="25"/>
      <c r="U78" s="363"/>
      <c r="V78" s="77">
        <v>14</v>
      </c>
      <c r="W78" s="49"/>
      <c r="X78" s="2">
        <f t="shared" si="58"/>
        <v>0</v>
      </c>
      <c r="Y78" s="2">
        <f t="shared" si="59"/>
        <v>0.5</v>
      </c>
      <c r="Z78" s="2">
        <f t="shared" si="60"/>
        <v>0</v>
      </c>
      <c r="AD78" s="263"/>
      <c r="AE78" s="263"/>
      <c r="AF78" s="263"/>
    </row>
    <row r="79" spans="1:32" ht="25.5" customHeight="1">
      <c r="A79" s="368"/>
      <c r="B79" s="385"/>
      <c r="C79" s="368"/>
      <c r="D79" s="368"/>
      <c r="E79" s="386"/>
      <c r="F79" s="120" t="s">
        <v>289</v>
      </c>
      <c r="G79" s="285" t="s">
        <v>44</v>
      </c>
      <c r="H79" s="240" t="s">
        <v>49</v>
      </c>
      <c r="I79" s="29"/>
      <c r="J79" s="240" t="s">
        <v>64</v>
      </c>
      <c r="K79" s="310">
        <f t="shared" si="61"/>
        <v>0.5</v>
      </c>
      <c r="L79" s="30">
        <f t="shared" ref="L79:L81" si="64">IF(I79="m",(M79+N79)*2.5*V94/28,(M79+N79)*2*V94/28)</f>
        <v>0</v>
      </c>
      <c r="M79" s="29"/>
      <c r="N79" s="29"/>
      <c r="O79" s="30">
        <f t="shared" si="63"/>
        <v>0.5</v>
      </c>
      <c r="P79" s="29">
        <v>1</v>
      </c>
      <c r="Q79" s="29"/>
      <c r="R79" s="258"/>
      <c r="S79" s="49"/>
      <c r="T79" s="25"/>
      <c r="U79" s="363"/>
      <c r="V79" s="77">
        <v>14</v>
      </c>
      <c r="W79" s="49"/>
      <c r="X79" s="2">
        <f t="shared" ref="X79:X82" si="65">IF(ISNUMBER(SEARCH("Aut",H79)),K79, 0)</f>
        <v>0</v>
      </c>
      <c r="Y79" s="2">
        <f t="shared" ref="Y79:Y82" si="66">IF(ISNUMBER(SEARCH("Tst",H79)),K79, 0)</f>
        <v>0.5</v>
      </c>
      <c r="Z79" s="2">
        <f t="shared" ref="Z79:Z82" si="67">IF(ISNUMBER(SEARCH("Calc",H79)),K79, 0)</f>
        <v>0</v>
      </c>
      <c r="AD79" s="263"/>
      <c r="AE79" s="263"/>
      <c r="AF79" s="263"/>
    </row>
    <row r="80" spans="1:32" ht="25.5" customHeight="1">
      <c r="A80" s="368"/>
      <c r="B80" s="385"/>
      <c r="C80" s="368"/>
      <c r="D80" s="368"/>
      <c r="E80" s="386"/>
      <c r="F80" s="120" t="s">
        <v>289</v>
      </c>
      <c r="G80" s="285" t="s">
        <v>132</v>
      </c>
      <c r="H80" s="240" t="s">
        <v>55</v>
      </c>
      <c r="I80" s="29"/>
      <c r="J80" s="240" t="s">
        <v>135</v>
      </c>
      <c r="K80" s="30">
        <f t="shared" si="61"/>
        <v>0.5</v>
      </c>
      <c r="L80" s="30">
        <f t="shared" si="64"/>
        <v>0</v>
      </c>
      <c r="M80" s="240"/>
      <c r="N80" s="240"/>
      <c r="O80" s="30">
        <f t="shared" si="63"/>
        <v>0.5</v>
      </c>
      <c r="P80" s="240"/>
      <c r="Q80" s="240">
        <v>1</v>
      </c>
      <c r="R80" s="258"/>
      <c r="S80" s="49"/>
      <c r="T80" s="25"/>
      <c r="U80" s="363"/>
      <c r="V80" s="77">
        <v>14</v>
      </c>
      <c r="W80" s="49"/>
      <c r="X80" s="2">
        <f t="shared" si="65"/>
        <v>0.5</v>
      </c>
      <c r="Y80" s="2">
        <f t="shared" si="66"/>
        <v>0</v>
      </c>
      <c r="Z80" s="2">
        <f t="shared" si="67"/>
        <v>0</v>
      </c>
      <c r="AD80" s="263"/>
      <c r="AE80" s="263"/>
      <c r="AF80" s="263"/>
    </row>
    <row r="81" spans="1:32" ht="25.5" customHeight="1">
      <c r="A81" s="368"/>
      <c r="B81" s="385"/>
      <c r="C81" s="368"/>
      <c r="D81" s="368"/>
      <c r="E81" s="386"/>
      <c r="F81" s="120" t="s">
        <v>289</v>
      </c>
      <c r="G81" s="285" t="s">
        <v>132</v>
      </c>
      <c r="H81" s="240" t="s">
        <v>49</v>
      </c>
      <c r="I81" s="29"/>
      <c r="J81" s="240" t="s">
        <v>63</v>
      </c>
      <c r="K81" s="30">
        <f t="shared" si="61"/>
        <v>0.5</v>
      </c>
      <c r="L81" s="30">
        <f t="shared" si="64"/>
        <v>0</v>
      </c>
      <c r="M81" s="240"/>
      <c r="N81" s="240"/>
      <c r="O81" s="30">
        <f t="shared" si="63"/>
        <v>0.5</v>
      </c>
      <c r="P81" s="312"/>
      <c r="Q81" s="312">
        <v>1</v>
      </c>
      <c r="R81" s="258"/>
      <c r="S81" s="49"/>
      <c r="T81" s="25"/>
      <c r="U81" s="363"/>
      <c r="V81" s="77">
        <v>14</v>
      </c>
      <c r="W81" s="49"/>
      <c r="X81" s="2">
        <f t="shared" si="65"/>
        <v>0</v>
      </c>
      <c r="Y81" s="2">
        <f t="shared" si="66"/>
        <v>0.5</v>
      </c>
      <c r="Z81" s="2">
        <f t="shared" si="67"/>
        <v>0</v>
      </c>
      <c r="AD81" s="263"/>
      <c r="AE81" s="263"/>
      <c r="AF81" s="263"/>
    </row>
    <row r="82" spans="1:32" ht="25.5">
      <c r="A82" s="368"/>
      <c r="B82" s="385"/>
      <c r="C82" s="368"/>
      <c r="D82" s="368"/>
      <c r="E82" s="386"/>
      <c r="F82" s="120" t="s">
        <v>289</v>
      </c>
      <c r="G82" s="285" t="s">
        <v>131</v>
      </c>
      <c r="H82" s="240" t="s">
        <v>138</v>
      </c>
      <c r="I82" s="29"/>
      <c r="J82" s="240" t="s">
        <v>63</v>
      </c>
      <c r="K82" s="310" t="e">
        <f t="shared" si="61"/>
        <v>#REF!</v>
      </c>
      <c r="L82" s="30" t="e">
        <f>IF(I82="m",(M82+N82)*2.5*#REF!/28,(M82+N82)*2*#REF!/28)</f>
        <v>#REF!</v>
      </c>
      <c r="M82" s="29"/>
      <c r="N82" s="29"/>
      <c r="O82" s="30" t="e">
        <f>IF(I82="m",(P82+Q82)*1.5*#REF!/28,(P82+Q82)*1*#REF!/28)</f>
        <v>#REF!</v>
      </c>
      <c r="P82" s="29"/>
      <c r="Q82" s="29">
        <v>1</v>
      </c>
      <c r="R82" s="49"/>
      <c r="S82" s="49"/>
      <c r="T82" s="25"/>
      <c r="U82" s="363"/>
      <c r="V82" s="77">
        <v>14</v>
      </c>
      <c r="W82" s="49"/>
      <c r="X82" s="2">
        <f t="shared" si="65"/>
        <v>0</v>
      </c>
      <c r="Y82" s="2">
        <f t="shared" si="66"/>
        <v>0</v>
      </c>
      <c r="Z82" s="2">
        <f t="shared" si="67"/>
        <v>0</v>
      </c>
      <c r="AD82" s="263"/>
      <c r="AE82" s="263"/>
      <c r="AF82" s="263"/>
    </row>
    <row r="83" spans="1:32" ht="25.5">
      <c r="A83" s="368"/>
      <c r="B83" s="385"/>
      <c r="C83" s="368"/>
      <c r="D83" s="368"/>
      <c r="E83" s="386"/>
      <c r="F83" s="120" t="s">
        <v>289</v>
      </c>
      <c r="G83" s="285" t="s">
        <v>131</v>
      </c>
      <c r="H83" s="240" t="s">
        <v>61</v>
      </c>
      <c r="I83" s="29"/>
      <c r="J83" s="240" t="s">
        <v>135</v>
      </c>
      <c r="K83" s="310" t="e">
        <f t="shared" si="61"/>
        <v>#REF!</v>
      </c>
      <c r="L83" s="30" t="e">
        <f>IF(I83="m",(M83+N83)*2.5*#REF!/28,(M83+N83)*2*#REF!/28)</f>
        <v>#REF!</v>
      </c>
      <c r="M83" s="29"/>
      <c r="N83" s="29"/>
      <c r="O83" s="30" t="e">
        <f>IF(I83="m",(P83+Q83)*1.5*#REF!/28,(P83+Q83)*1*#REF!/28)</f>
        <v>#REF!</v>
      </c>
      <c r="P83" s="29"/>
      <c r="Q83" s="29">
        <v>2</v>
      </c>
      <c r="R83" s="258"/>
      <c r="S83" s="49"/>
      <c r="T83" s="25"/>
      <c r="U83" s="363"/>
      <c r="V83" s="77">
        <v>14</v>
      </c>
      <c r="W83" s="49"/>
      <c r="X83" s="2">
        <f>IF(ISNUMBER(SEARCH("Aut",H211)),K211, 0)</f>
        <v>0</v>
      </c>
      <c r="Y83" s="2">
        <f>IF(ISNUMBER(SEARCH("Tst",H211)),K211, 0)</f>
        <v>0</v>
      </c>
      <c r="Z83" s="2">
        <f>IF(ISNUMBER(SEARCH("Calc",H211)),K211, 0)</f>
        <v>0</v>
      </c>
      <c r="AD83" s="263"/>
      <c r="AE83" s="263"/>
      <c r="AF83" s="263"/>
    </row>
    <row r="84" spans="1:32" ht="25.5" customHeight="1">
      <c r="A84" s="368"/>
      <c r="B84" s="385"/>
      <c r="C84" s="368"/>
      <c r="D84" s="368"/>
      <c r="E84" s="386"/>
      <c r="F84" s="120" t="s">
        <v>289</v>
      </c>
      <c r="G84" s="285" t="s">
        <v>131</v>
      </c>
      <c r="H84" s="240" t="s">
        <v>49</v>
      </c>
      <c r="I84" s="29"/>
      <c r="J84" s="240" t="s">
        <v>63</v>
      </c>
      <c r="K84" s="30">
        <f t="shared" si="57"/>
        <v>0.5</v>
      </c>
      <c r="L84" s="30">
        <f t="shared" si="52"/>
        <v>0</v>
      </c>
      <c r="M84" s="29"/>
      <c r="N84" s="29"/>
      <c r="O84" s="30">
        <f t="shared" si="53"/>
        <v>0.5</v>
      </c>
      <c r="P84" s="29"/>
      <c r="Q84" s="29">
        <v>1</v>
      </c>
      <c r="R84" s="258"/>
      <c r="S84" s="49"/>
      <c r="T84" s="25"/>
      <c r="U84" s="363"/>
      <c r="V84" s="77">
        <v>14</v>
      </c>
      <c r="W84" s="49"/>
      <c r="X84" s="2">
        <f t="shared" si="54"/>
        <v>0</v>
      </c>
      <c r="Y84" s="2">
        <f t="shared" si="55"/>
        <v>0.5</v>
      </c>
      <c r="Z84" s="2">
        <f t="shared" si="56"/>
        <v>0</v>
      </c>
      <c r="AD84" s="263"/>
      <c r="AE84" s="263"/>
      <c r="AF84" s="263"/>
    </row>
    <row r="85" spans="1:32" ht="25.5" customHeight="1">
      <c r="A85" s="368"/>
      <c r="B85" s="385"/>
      <c r="C85" s="368"/>
      <c r="D85" s="368"/>
      <c r="E85" s="386"/>
      <c r="F85" s="120" t="s">
        <v>289</v>
      </c>
      <c r="G85" s="285" t="s">
        <v>131</v>
      </c>
      <c r="H85" s="240" t="s">
        <v>138</v>
      </c>
      <c r="I85" s="29"/>
      <c r="J85" s="240" t="s">
        <v>19</v>
      </c>
      <c r="K85" s="30">
        <f t="shared" si="57"/>
        <v>1</v>
      </c>
      <c r="L85" s="30">
        <f t="shared" si="52"/>
        <v>0</v>
      </c>
      <c r="M85" s="29"/>
      <c r="N85" s="29"/>
      <c r="O85" s="30">
        <f t="shared" si="53"/>
        <v>1</v>
      </c>
      <c r="P85" s="29"/>
      <c r="Q85" s="29">
        <v>2</v>
      </c>
      <c r="R85" s="250"/>
      <c r="S85" s="25"/>
      <c r="T85" s="25"/>
      <c r="U85" s="363"/>
      <c r="V85" s="77">
        <v>14</v>
      </c>
      <c r="W85" s="49"/>
      <c r="X85" s="2">
        <f t="shared" si="54"/>
        <v>0</v>
      </c>
      <c r="Y85" s="2">
        <f t="shared" si="55"/>
        <v>0</v>
      </c>
      <c r="Z85" s="2">
        <f t="shared" si="56"/>
        <v>0</v>
      </c>
      <c r="AD85" s="263"/>
      <c r="AE85" s="263"/>
      <c r="AF85" s="263"/>
    </row>
    <row r="86" spans="1:32" ht="25.5" customHeight="1">
      <c r="A86" s="368"/>
      <c r="B86" s="385"/>
      <c r="C86" s="368"/>
      <c r="D86" s="368"/>
      <c r="E86" s="386"/>
      <c r="F86" s="120" t="s">
        <v>289</v>
      </c>
      <c r="G86" s="285" t="s">
        <v>131</v>
      </c>
      <c r="H86" s="240" t="s">
        <v>61</v>
      </c>
      <c r="I86" s="29"/>
      <c r="J86" s="240" t="s">
        <v>63</v>
      </c>
      <c r="K86" s="30">
        <f t="shared" si="57"/>
        <v>0.5</v>
      </c>
      <c r="L86" s="30">
        <f t="shared" si="52"/>
        <v>0</v>
      </c>
      <c r="M86" s="29"/>
      <c r="N86" s="29"/>
      <c r="O86" s="30">
        <f t="shared" si="53"/>
        <v>0.5</v>
      </c>
      <c r="P86" s="29"/>
      <c r="Q86" s="29">
        <v>1</v>
      </c>
      <c r="R86" s="258"/>
      <c r="S86" s="49"/>
      <c r="T86" s="25"/>
      <c r="U86" s="363"/>
      <c r="V86" s="77">
        <v>14</v>
      </c>
      <c r="W86" s="49"/>
      <c r="X86" s="2">
        <f t="shared" si="54"/>
        <v>0</v>
      </c>
      <c r="Y86" s="2">
        <f t="shared" si="55"/>
        <v>0</v>
      </c>
      <c r="Z86" s="2">
        <f t="shared" si="56"/>
        <v>0.5</v>
      </c>
      <c r="AD86" s="263"/>
      <c r="AE86" s="263"/>
      <c r="AF86" s="263"/>
    </row>
    <row r="87" spans="1:32" ht="25.5" customHeight="1">
      <c r="A87" s="368"/>
      <c r="B87" s="385"/>
      <c r="C87" s="368"/>
      <c r="D87" s="368"/>
      <c r="E87" s="386"/>
      <c r="F87" s="120" t="s">
        <v>289</v>
      </c>
      <c r="G87" s="109" t="s">
        <v>131</v>
      </c>
      <c r="H87" s="122" t="s">
        <v>138</v>
      </c>
      <c r="I87" s="25"/>
      <c r="J87" s="122" t="s">
        <v>63</v>
      </c>
      <c r="K87" s="35">
        <f t="shared" si="57"/>
        <v>0.5</v>
      </c>
      <c r="L87" s="35">
        <f t="shared" si="52"/>
        <v>0</v>
      </c>
      <c r="M87" s="25"/>
      <c r="N87" s="25"/>
      <c r="O87" s="35">
        <f t="shared" si="53"/>
        <v>0.5</v>
      </c>
      <c r="P87" s="25"/>
      <c r="Q87" s="25">
        <v>1</v>
      </c>
      <c r="R87" s="250"/>
      <c r="S87" s="25"/>
      <c r="T87" s="25"/>
      <c r="U87" s="363"/>
      <c r="V87" s="77">
        <v>14</v>
      </c>
      <c r="W87" s="49"/>
      <c r="X87" s="2">
        <f t="shared" si="54"/>
        <v>0</v>
      </c>
      <c r="Y87" s="2">
        <f t="shared" si="55"/>
        <v>0</v>
      </c>
      <c r="Z87" s="2">
        <f t="shared" si="56"/>
        <v>0</v>
      </c>
      <c r="AD87" s="263"/>
      <c r="AE87" s="263"/>
      <c r="AF87" s="263"/>
    </row>
    <row r="88" spans="1:32" ht="26.25" customHeight="1" thickBot="1">
      <c r="A88" s="368"/>
      <c r="B88" s="385"/>
      <c r="C88" s="368"/>
      <c r="D88" s="368"/>
      <c r="E88" s="386"/>
      <c r="F88" s="120" t="s">
        <v>289</v>
      </c>
      <c r="G88" s="259" t="s">
        <v>131</v>
      </c>
      <c r="H88" s="260" t="s">
        <v>146</v>
      </c>
      <c r="I88" s="110"/>
      <c r="J88" s="260" t="s">
        <v>63</v>
      </c>
      <c r="K88" s="111">
        <f>L88+O88</f>
        <v>0.5</v>
      </c>
      <c r="L88" s="111">
        <f>IF(I88="m",(M88+N88)*2.5*V88/28,(M88+N88)*2*V88/28)</f>
        <v>0</v>
      </c>
      <c r="M88" s="110"/>
      <c r="N88" s="110"/>
      <c r="O88" s="111">
        <f t="shared" si="53"/>
        <v>0.5</v>
      </c>
      <c r="P88" s="110"/>
      <c r="Q88" s="110">
        <v>1</v>
      </c>
      <c r="R88" s="250"/>
      <c r="S88" s="25"/>
      <c r="T88" s="25"/>
      <c r="U88" s="363"/>
      <c r="V88" s="77">
        <v>14</v>
      </c>
      <c r="W88" s="49"/>
      <c r="X88" s="2">
        <f t="shared" si="54"/>
        <v>0</v>
      </c>
      <c r="Y88" s="2">
        <f t="shared" si="55"/>
        <v>0</v>
      </c>
      <c r="Z88" s="2">
        <f t="shared" si="56"/>
        <v>0</v>
      </c>
      <c r="AD88" s="263"/>
      <c r="AE88" s="263"/>
      <c r="AF88" s="263"/>
    </row>
    <row r="89" spans="1:32" ht="12.75" customHeight="1">
      <c r="A89" s="367">
        <v>9</v>
      </c>
      <c r="B89" s="367" t="s">
        <v>16</v>
      </c>
      <c r="C89" s="367" t="s">
        <v>118</v>
      </c>
      <c r="D89" s="367"/>
      <c r="E89" s="367"/>
      <c r="F89" s="381"/>
      <c r="G89" s="369"/>
      <c r="H89" s="369"/>
      <c r="I89" s="372"/>
      <c r="J89" s="244">
        <v>16</v>
      </c>
      <c r="K89" s="245">
        <f>SUM(K91:K100)</f>
        <v>16</v>
      </c>
      <c r="L89" s="360">
        <f>SUM(L91:L100)</f>
        <v>2</v>
      </c>
      <c r="M89" s="360">
        <f t="shared" ref="M89:Q89" si="68">SUM(M91:M100)</f>
        <v>2</v>
      </c>
      <c r="N89" s="360">
        <f t="shared" si="68"/>
        <v>0</v>
      </c>
      <c r="O89" s="360">
        <f t="shared" si="68"/>
        <v>14</v>
      </c>
      <c r="P89" s="360">
        <f t="shared" si="68"/>
        <v>14</v>
      </c>
      <c r="Q89" s="360">
        <f t="shared" si="68"/>
        <v>14</v>
      </c>
      <c r="R89" s="128">
        <f>J89-K89</f>
        <v>0</v>
      </c>
      <c r="S89" s="246">
        <f>S90/28</f>
        <v>0</v>
      </c>
      <c r="T89" s="246"/>
      <c r="U89" s="362"/>
      <c r="V89" s="209"/>
      <c r="W89" s="106"/>
      <c r="X89" s="2">
        <f t="shared" ref="X89:X152" si="69">IF(ISNUMBER(SEARCH("Aut",H89)),K89, 0)</f>
        <v>0</v>
      </c>
      <c r="Y89" s="2">
        <f t="shared" ref="Y89:Y152" si="70">IF(ISNUMBER(SEARCH("Tst",H89)),K89, 0)</f>
        <v>0</v>
      </c>
      <c r="Z89" s="2">
        <f t="shared" ref="Z89:Z152" si="71">IF(ISNUMBER(SEARCH("Calc",H89)),K89, 0)</f>
        <v>0</v>
      </c>
    </row>
    <row r="90" spans="1:32" ht="13.5" customHeight="1" thickBot="1">
      <c r="A90" s="368"/>
      <c r="B90" s="368"/>
      <c r="C90" s="368"/>
      <c r="D90" s="368"/>
      <c r="E90" s="368"/>
      <c r="F90" s="381"/>
      <c r="G90" s="370"/>
      <c r="H90" s="371"/>
      <c r="I90" s="373"/>
      <c r="J90" s="129">
        <v>448</v>
      </c>
      <c r="K90" s="132">
        <f>K89*28</f>
        <v>448</v>
      </c>
      <c r="L90" s="361"/>
      <c r="M90" s="361"/>
      <c r="N90" s="361"/>
      <c r="O90" s="361"/>
      <c r="P90" s="361"/>
      <c r="Q90" s="361"/>
      <c r="R90" s="126">
        <f>J90-K90</f>
        <v>0</v>
      </c>
      <c r="S90" s="248">
        <f>SUM(S91:S100)</f>
        <v>0</v>
      </c>
      <c r="T90" s="16"/>
      <c r="U90" s="363"/>
      <c r="V90" s="77"/>
      <c r="W90" s="49"/>
      <c r="X90" s="2">
        <f t="shared" si="69"/>
        <v>0</v>
      </c>
      <c r="Y90" s="2">
        <f t="shared" si="70"/>
        <v>0</v>
      </c>
      <c r="Z90" s="2">
        <f t="shared" si="71"/>
        <v>0</v>
      </c>
    </row>
    <row r="91" spans="1:32" ht="25.5" customHeight="1">
      <c r="A91" s="368"/>
      <c r="B91" s="368"/>
      <c r="C91" s="368"/>
      <c r="D91" s="368"/>
      <c r="E91" s="386"/>
      <c r="F91" s="120" t="s">
        <v>289</v>
      </c>
      <c r="G91" s="304" t="s">
        <v>255</v>
      </c>
      <c r="H91" s="240" t="s">
        <v>133</v>
      </c>
      <c r="I91" s="29"/>
      <c r="J91" s="240" t="s">
        <v>215</v>
      </c>
      <c r="K91" s="30">
        <f t="shared" ref="K91:K93" si="72">L91+O91</f>
        <v>2</v>
      </c>
      <c r="L91" s="30">
        <f>IF(I91="m",(M91+N91)*2.5*V91/28,(M91+N91)*2*V91/28)</f>
        <v>2</v>
      </c>
      <c r="M91" s="29">
        <v>2</v>
      </c>
      <c r="N91" s="29"/>
      <c r="O91" s="30">
        <f t="shared" ref="O91:O96" si="73">IF(I91="m",(P91+Q91)*1.5*V91/28,(P91+Q91)*1*V91/28)</f>
        <v>0</v>
      </c>
      <c r="P91" s="29"/>
      <c r="Q91" s="240"/>
      <c r="R91" s="25"/>
      <c r="S91" s="25"/>
      <c r="T91" s="25"/>
      <c r="U91" s="363"/>
      <c r="V91" s="77">
        <v>14</v>
      </c>
      <c r="W91" s="49"/>
      <c r="X91" s="2">
        <f>IF(ISNUMBER(SEARCH("Aut",H91)),K91, 0)</f>
        <v>2</v>
      </c>
      <c r="Y91" s="2">
        <f t="shared" si="70"/>
        <v>2</v>
      </c>
      <c r="Z91" s="2">
        <f t="shared" si="71"/>
        <v>2</v>
      </c>
      <c r="AA91" s="2">
        <f>SUM(X91:X100)</f>
        <v>3</v>
      </c>
      <c r="AB91" s="2">
        <f>SUM(Y91:Y100)</f>
        <v>3</v>
      </c>
      <c r="AC91" s="2">
        <f>SUM(Z91:Z100)</f>
        <v>4</v>
      </c>
      <c r="AD91" s="269">
        <f>AA91/16</f>
        <v>0.1875</v>
      </c>
      <c r="AE91" s="269">
        <f t="shared" ref="AE91:AF91" si="74">AB91/16</f>
        <v>0.1875</v>
      </c>
      <c r="AF91" s="269">
        <f t="shared" si="74"/>
        <v>0.25</v>
      </c>
    </row>
    <row r="92" spans="1:32" ht="25.5" customHeight="1">
      <c r="A92" s="368"/>
      <c r="B92" s="368"/>
      <c r="C92" s="368"/>
      <c r="D92" s="368"/>
      <c r="E92" s="386"/>
      <c r="F92" s="120" t="s">
        <v>289</v>
      </c>
      <c r="G92" s="304" t="s">
        <v>255</v>
      </c>
      <c r="H92" s="240" t="s">
        <v>61</v>
      </c>
      <c r="I92" s="29"/>
      <c r="J92" s="240" t="s">
        <v>129</v>
      </c>
      <c r="K92" s="30">
        <f t="shared" si="72"/>
        <v>1</v>
      </c>
      <c r="L92" s="30">
        <f t="shared" ref="L92:L96" si="75">IF(I92="m",(M92+N92)*2.5*V92/28,(M92+N92)*2*V92/28)</f>
        <v>0</v>
      </c>
      <c r="M92" s="29"/>
      <c r="N92" s="29"/>
      <c r="O92" s="30">
        <f t="shared" si="73"/>
        <v>1</v>
      </c>
      <c r="P92" s="29">
        <v>2</v>
      </c>
      <c r="Q92" s="240"/>
      <c r="R92" s="25"/>
      <c r="S92" s="25"/>
      <c r="T92" s="25"/>
      <c r="U92" s="363"/>
      <c r="V92" s="77">
        <v>14</v>
      </c>
      <c r="W92" s="49"/>
      <c r="X92" s="2">
        <f t="shared" si="69"/>
        <v>0</v>
      </c>
      <c r="Y92" s="2">
        <f t="shared" si="70"/>
        <v>0</v>
      </c>
      <c r="Z92" s="2">
        <f t="shared" si="71"/>
        <v>1</v>
      </c>
    </row>
    <row r="93" spans="1:32" ht="25.5" customHeight="1">
      <c r="A93" s="368"/>
      <c r="B93" s="368"/>
      <c r="C93" s="368"/>
      <c r="D93" s="368"/>
      <c r="E93" s="386"/>
      <c r="F93" s="120" t="s">
        <v>289</v>
      </c>
      <c r="G93" s="304" t="s">
        <v>255</v>
      </c>
      <c r="H93" s="240" t="s">
        <v>55</v>
      </c>
      <c r="I93" s="29"/>
      <c r="J93" s="240" t="s">
        <v>129</v>
      </c>
      <c r="K93" s="30">
        <f t="shared" si="72"/>
        <v>1</v>
      </c>
      <c r="L93" s="30">
        <f t="shared" si="75"/>
        <v>0</v>
      </c>
      <c r="M93" s="29"/>
      <c r="N93" s="29"/>
      <c r="O93" s="30">
        <f t="shared" si="73"/>
        <v>1</v>
      </c>
      <c r="P93" s="29">
        <v>2</v>
      </c>
      <c r="Q93" s="240"/>
      <c r="R93" s="25"/>
      <c r="S93" s="25"/>
      <c r="T93" s="25"/>
      <c r="U93" s="363"/>
      <c r="V93" s="77">
        <v>14</v>
      </c>
      <c r="W93" s="49"/>
      <c r="X93" s="2">
        <f t="shared" si="69"/>
        <v>1</v>
      </c>
      <c r="Y93" s="2">
        <f t="shared" si="70"/>
        <v>0</v>
      </c>
      <c r="Z93" s="2">
        <f t="shared" si="71"/>
        <v>0</v>
      </c>
    </row>
    <row r="94" spans="1:32" ht="25.5" customHeight="1">
      <c r="A94" s="368"/>
      <c r="B94" s="368"/>
      <c r="C94" s="368"/>
      <c r="D94" s="368"/>
      <c r="E94" s="386"/>
      <c r="F94" s="120" t="s">
        <v>289</v>
      </c>
      <c r="G94" s="304" t="s">
        <v>163</v>
      </c>
      <c r="H94" s="240" t="s">
        <v>138</v>
      </c>
      <c r="I94" s="29"/>
      <c r="J94" s="240" t="s">
        <v>126</v>
      </c>
      <c r="K94" s="30">
        <f>L94+O94</f>
        <v>2</v>
      </c>
      <c r="L94" s="30">
        <f t="shared" si="75"/>
        <v>0</v>
      </c>
      <c r="M94" s="29"/>
      <c r="N94" s="29"/>
      <c r="O94" s="30">
        <f t="shared" si="73"/>
        <v>2</v>
      </c>
      <c r="P94" s="319">
        <v>4</v>
      </c>
      <c r="Q94" s="29"/>
      <c r="R94" s="25"/>
      <c r="S94" s="25"/>
      <c r="T94" s="25"/>
      <c r="U94" s="363"/>
      <c r="V94" s="77">
        <v>14</v>
      </c>
      <c r="W94" s="49"/>
      <c r="X94" s="2">
        <f>IF(ISNUMBER(SEARCH("Aut",H147)),K147, 0)</f>
        <v>0</v>
      </c>
      <c r="Y94" s="2">
        <f>IF(ISNUMBER(SEARCH("Tst",H147)),K147, 0)</f>
        <v>1</v>
      </c>
      <c r="Z94" s="2">
        <f>IF(ISNUMBER(SEARCH("Calc",H147)),K147, 0)</f>
        <v>0</v>
      </c>
    </row>
    <row r="95" spans="1:32" ht="25.5" customHeight="1">
      <c r="A95" s="368"/>
      <c r="B95" s="368"/>
      <c r="C95" s="368"/>
      <c r="D95" s="368"/>
      <c r="E95" s="386"/>
      <c r="F95" s="120" t="s">
        <v>289</v>
      </c>
      <c r="G95" s="304" t="s">
        <v>161</v>
      </c>
      <c r="H95" s="240" t="s">
        <v>138</v>
      </c>
      <c r="I95" s="29"/>
      <c r="J95" s="240" t="s">
        <v>127</v>
      </c>
      <c r="K95" s="30">
        <f t="shared" ref="K95:K96" si="76">L95+O95</f>
        <v>1</v>
      </c>
      <c r="L95" s="30">
        <f t="shared" si="75"/>
        <v>0</v>
      </c>
      <c r="M95" s="29"/>
      <c r="N95" s="29"/>
      <c r="O95" s="30">
        <f t="shared" si="73"/>
        <v>1</v>
      </c>
      <c r="P95" s="312"/>
      <c r="Q95" s="319">
        <v>2</v>
      </c>
      <c r="R95" s="25"/>
      <c r="S95" s="25"/>
      <c r="T95" s="25"/>
      <c r="U95" s="363"/>
      <c r="V95" s="77">
        <v>14</v>
      </c>
      <c r="W95" s="49"/>
      <c r="X95" s="2">
        <f>IF(ISNUMBER(SEARCH("Aut",H94)),K94, 0)</f>
        <v>0</v>
      </c>
      <c r="Y95" s="2">
        <f>IF(ISNUMBER(SEARCH("Tst",H94)),K94, 0)</f>
        <v>0</v>
      </c>
      <c r="Z95" s="2">
        <f>IF(ISNUMBER(SEARCH("Calc",H94)),K94, 0)</f>
        <v>0</v>
      </c>
    </row>
    <row r="96" spans="1:32" ht="12.75" customHeight="1">
      <c r="A96" s="368"/>
      <c r="B96" s="368"/>
      <c r="C96" s="368"/>
      <c r="D96" s="368"/>
      <c r="E96" s="386"/>
      <c r="F96" s="120" t="s">
        <v>289</v>
      </c>
      <c r="G96" s="304" t="s">
        <v>160</v>
      </c>
      <c r="H96" s="240" t="s">
        <v>61</v>
      </c>
      <c r="I96" s="29"/>
      <c r="J96" s="240" t="s">
        <v>129</v>
      </c>
      <c r="K96" s="30">
        <f t="shared" si="76"/>
        <v>1</v>
      </c>
      <c r="L96" s="30">
        <f t="shared" si="75"/>
        <v>0</v>
      </c>
      <c r="M96" s="240"/>
      <c r="N96" s="240"/>
      <c r="O96" s="30">
        <f t="shared" si="73"/>
        <v>1</v>
      </c>
      <c r="P96" s="240">
        <v>2</v>
      </c>
      <c r="Q96" s="240"/>
      <c r="R96" s="25"/>
      <c r="S96" s="25"/>
      <c r="T96" s="25"/>
      <c r="U96" s="363"/>
      <c r="V96" s="77">
        <v>14</v>
      </c>
      <c r="W96" s="49"/>
      <c r="X96" s="2">
        <f>IF(ISNUMBER(SEARCH("Aut",H95)),K95, 0)</f>
        <v>0</v>
      </c>
      <c r="Y96" s="2">
        <f>IF(ISNUMBER(SEARCH("Tst",H95)),K95, 0)</f>
        <v>0</v>
      </c>
      <c r="Z96" s="2">
        <f>IF(ISNUMBER(SEARCH("Calc",H95)),K95, 0)</f>
        <v>0</v>
      </c>
    </row>
    <row r="97" spans="1:32" ht="12.75" customHeight="1">
      <c r="A97" s="368"/>
      <c r="B97" s="368"/>
      <c r="C97" s="368"/>
      <c r="D97" s="368"/>
      <c r="E97" s="386"/>
      <c r="F97" s="120" t="s">
        <v>289</v>
      </c>
      <c r="G97" s="285" t="s">
        <v>122</v>
      </c>
      <c r="H97" s="290" t="s">
        <v>61</v>
      </c>
      <c r="I97" s="29"/>
      <c r="J97" s="290" t="s">
        <v>129</v>
      </c>
      <c r="K97" s="30">
        <f>L97+O97</f>
        <v>2</v>
      </c>
      <c r="L97" s="30">
        <f>IF(I97="m",(M97+N97)*2.5*V99/28,(M97+N97)*2*V99/28)</f>
        <v>0</v>
      </c>
      <c r="M97" s="29"/>
      <c r="N97" s="29"/>
      <c r="O97" s="30">
        <f>IF(I97="m",(P97+Q97)*1.5*V99/28,(P97+Q97)*1*V99/28)</f>
        <v>2</v>
      </c>
      <c r="P97" s="29">
        <v>4</v>
      </c>
      <c r="Q97" s="29"/>
      <c r="R97" s="25"/>
      <c r="S97" s="25"/>
      <c r="T97" s="25"/>
      <c r="U97" s="363"/>
      <c r="V97" s="77">
        <v>14</v>
      </c>
      <c r="W97" s="49"/>
      <c r="X97" s="2">
        <f>IF(ISNUMBER(SEARCH("Aut",H259)),K259, 0)</f>
        <v>0</v>
      </c>
      <c r="Y97" s="2">
        <f>IF(ISNUMBER(SEARCH("Tst",H259)),K259, 0)</f>
        <v>0</v>
      </c>
      <c r="Z97" s="2">
        <f>IF(ISNUMBER(SEARCH("Calc",H259)),K259, 0)</f>
        <v>0</v>
      </c>
    </row>
    <row r="98" spans="1:32">
      <c r="A98" s="368"/>
      <c r="B98" s="368"/>
      <c r="C98" s="368"/>
      <c r="D98" s="368"/>
      <c r="E98" s="386"/>
      <c r="F98" s="120" t="s">
        <v>289</v>
      </c>
      <c r="G98" s="285" t="s">
        <v>57</v>
      </c>
      <c r="H98" s="240" t="s">
        <v>55</v>
      </c>
      <c r="I98" s="29"/>
      <c r="J98" s="240" t="s">
        <v>65</v>
      </c>
      <c r="K98" s="30">
        <f>L98+O98</f>
        <v>1</v>
      </c>
      <c r="L98" s="30">
        <f>IF(I98="m",(M98+N98)*2.5*V106/28,(M98+N98)*2*V106/28)</f>
        <v>0</v>
      </c>
      <c r="M98" s="29"/>
      <c r="N98" s="29"/>
      <c r="O98" s="30">
        <f>IF(I98="m",(P98+Q98)*1.5*V106/28,(P98+Q98)*1*V106/28)</f>
        <v>1</v>
      </c>
      <c r="P98" s="29"/>
      <c r="Q98" s="29">
        <v>2</v>
      </c>
      <c r="R98" s="25"/>
      <c r="S98" s="25"/>
      <c r="T98" s="25"/>
      <c r="U98" s="363"/>
      <c r="V98" s="77">
        <v>14</v>
      </c>
      <c r="W98" s="49"/>
      <c r="X98" s="2">
        <f>IF(ISNUMBER(SEARCH("Aut",#REF!)),#REF!, 0)</f>
        <v>0</v>
      </c>
      <c r="Y98" s="2">
        <f>IF(ISNUMBER(SEARCH("Tst",#REF!)),#REF!, 0)</f>
        <v>0</v>
      </c>
      <c r="Z98" s="2">
        <f>IF(ISNUMBER(SEARCH("Calc",#REF!)),#REF!, 0)</f>
        <v>0</v>
      </c>
    </row>
    <row r="99" spans="1:32">
      <c r="A99" s="368"/>
      <c r="B99" s="368"/>
      <c r="C99" s="368"/>
      <c r="D99" s="368"/>
      <c r="E99" s="386"/>
      <c r="F99" s="120" t="s">
        <v>289</v>
      </c>
      <c r="G99" s="285" t="s">
        <v>57</v>
      </c>
      <c r="H99" s="240" t="s">
        <v>55</v>
      </c>
      <c r="I99" s="29"/>
      <c r="J99" s="240" t="s">
        <v>19</v>
      </c>
      <c r="K99" s="310">
        <f>L99+O99</f>
        <v>2</v>
      </c>
      <c r="L99" s="30">
        <f>IF(I99="m",(M99+N99)*2.5*V107/28,(M99+N99)*2*V107/28)</f>
        <v>0</v>
      </c>
      <c r="M99" s="240"/>
      <c r="N99" s="240"/>
      <c r="O99" s="30">
        <f>IF(I99="m",(P99+Q99)*1.5*V107/28,(P99+Q99)*1*V107/28)</f>
        <v>2</v>
      </c>
      <c r="P99" s="292"/>
      <c r="Q99" s="292">
        <v>4</v>
      </c>
      <c r="R99" s="49"/>
      <c r="S99" s="49"/>
      <c r="T99" s="25"/>
      <c r="U99" s="363"/>
      <c r="V99" s="77">
        <v>14</v>
      </c>
      <c r="W99" s="49"/>
      <c r="X99" s="2">
        <f>IF(ISNUMBER(SEARCH("Aut",H96)),K96, 0)</f>
        <v>0</v>
      </c>
      <c r="Y99" s="2">
        <f>IF(ISNUMBER(SEARCH("Tst",H96)),K96, 0)</f>
        <v>0</v>
      </c>
      <c r="Z99" s="2">
        <f>IF(ISNUMBER(SEARCH("Calc",H96)),K96, 0)</f>
        <v>1</v>
      </c>
    </row>
    <row r="100" spans="1:32" ht="13.5" thickBot="1">
      <c r="A100" s="368"/>
      <c r="B100" s="368"/>
      <c r="C100" s="368"/>
      <c r="D100" s="368"/>
      <c r="E100" s="386"/>
      <c r="F100" s="120" t="s">
        <v>289</v>
      </c>
      <c r="G100" s="293" t="s">
        <v>57</v>
      </c>
      <c r="H100" s="294" t="s">
        <v>61</v>
      </c>
      <c r="I100" s="295"/>
      <c r="J100" s="294" t="s">
        <v>199</v>
      </c>
      <c r="K100" s="296">
        <f t="shared" ref="K100" si="77">L100+O100</f>
        <v>3</v>
      </c>
      <c r="L100" s="296">
        <f t="shared" ref="L100" si="78">IF(I100="m",(M100+N100)*2.5*V100/28,(M100+N100)*2*V100/28)</f>
        <v>0</v>
      </c>
      <c r="M100" s="295"/>
      <c r="N100" s="295"/>
      <c r="O100" s="296">
        <f t="shared" ref="O100" si="79">IF(I100="m",(P100+Q100)*1.5*V100/28,(P100+Q100)*1*V100/28)</f>
        <v>3</v>
      </c>
      <c r="P100" s="295"/>
      <c r="Q100" s="295">
        <v>6</v>
      </c>
      <c r="R100" s="49"/>
      <c r="S100" s="49"/>
      <c r="T100" s="25"/>
      <c r="U100" s="363"/>
      <c r="V100" s="77">
        <v>14</v>
      </c>
      <c r="W100" s="49"/>
      <c r="X100" s="2">
        <f>IF(ISNUMBER(SEARCH("Aut",H139)),K139, 0)</f>
        <v>0</v>
      </c>
      <c r="Y100" s="2">
        <f>IF(ISNUMBER(SEARCH("Tst",H139)),K139, 0)</f>
        <v>0</v>
      </c>
      <c r="Z100" s="2">
        <f>IF(ISNUMBER(SEARCH("Calc",H139)),K139, 0)</f>
        <v>0</v>
      </c>
    </row>
    <row r="101" spans="1:32" ht="12.75" customHeight="1">
      <c r="A101" s="367">
        <v>10</v>
      </c>
      <c r="B101" s="384" t="s">
        <v>16</v>
      </c>
      <c r="C101" s="367" t="s">
        <v>118</v>
      </c>
      <c r="D101" s="367"/>
      <c r="E101" s="367"/>
      <c r="F101" s="381"/>
      <c r="G101" s="369"/>
      <c r="H101" s="369"/>
      <c r="I101" s="372"/>
      <c r="J101" s="244">
        <v>16</v>
      </c>
      <c r="K101" s="245">
        <f>SUM(K103:K113)</f>
        <v>16</v>
      </c>
      <c r="L101" s="360">
        <f>SUM(L103:L113)</f>
        <v>4</v>
      </c>
      <c r="M101" s="360">
        <f t="shared" ref="M101:Q101" si="80">SUM(M103:M113)</f>
        <v>0</v>
      </c>
      <c r="N101" s="360">
        <f t="shared" si="80"/>
        <v>4</v>
      </c>
      <c r="O101" s="360">
        <f t="shared" si="80"/>
        <v>12</v>
      </c>
      <c r="P101" s="360">
        <f t="shared" si="80"/>
        <v>16</v>
      </c>
      <c r="Q101" s="360">
        <f t="shared" si="80"/>
        <v>8</v>
      </c>
      <c r="R101" s="128">
        <f>J101-K101</f>
        <v>0</v>
      </c>
      <c r="S101" s="246">
        <f>S102/28</f>
        <v>0</v>
      </c>
      <c r="T101" s="246"/>
      <c r="U101" s="362"/>
      <c r="V101" s="209"/>
      <c r="W101" s="106"/>
      <c r="X101" s="2">
        <f>IF(ISNUMBER(SEARCH("Aut",#REF!)),#REF!, 0)</f>
        <v>0</v>
      </c>
      <c r="Y101" s="2">
        <f>IF(ISNUMBER(SEARCH("Tst",#REF!)),#REF!, 0)</f>
        <v>0</v>
      </c>
      <c r="Z101" s="2">
        <f>IF(ISNUMBER(SEARCH("Calc",#REF!)),#REF!, 0)</f>
        <v>0</v>
      </c>
    </row>
    <row r="102" spans="1:32" ht="12.75" customHeight="1" thickBot="1">
      <c r="A102" s="368"/>
      <c r="B102" s="385"/>
      <c r="C102" s="368"/>
      <c r="D102" s="368"/>
      <c r="E102" s="368"/>
      <c r="F102" s="381"/>
      <c r="G102" s="370"/>
      <c r="H102" s="371"/>
      <c r="I102" s="373"/>
      <c r="J102" s="129">
        <v>448</v>
      </c>
      <c r="K102" s="132">
        <f>K101*28</f>
        <v>448</v>
      </c>
      <c r="L102" s="361"/>
      <c r="M102" s="361"/>
      <c r="N102" s="361"/>
      <c r="O102" s="361"/>
      <c r="P102" s="361"/>
      <c r="Q102" s="361"/>
      <c r="R102" s="126">
        <f>J102-K102</f>
        <v>0</v>
      </c>
      <c r="S102" s="248">
        <f>SUM(S103:S113)</f>
        <v>0</v>
      </c>
      <c r="T102" s="16"/>
      <c r="U102" s="363"/>
      <c r="V102" s="77"/>
      <c r="W102" s="49"/>
      <c r="X102" s="2">
        <f>IF(ISNUMBER(SEARCH("Aut",#REF!)),#REF!, 0)</f>
        <v>0</v>
      </c>
      <c r="Y102" s="2">
        <f>IF(ISNUMBER(SEARCH("Tst",#REF!)),#REF!, 0)</f>
        <v>0</v>
      </c>
      <c r="Z102" s="2">
        <f>IF(ISNUMBER(SEARCH("Calc",#REF!)),#REF!, 0)</f>
        <v>0</v>
      </c>
    </row>
    <row r="103" spans="1:32" ht="12.75" customHeight="1">
      <c r="A103" s="368"/>
      <c r="B103" s="385"/>
      <c r="C103" s="368"/>
      <c r="D103" s="368"/>
      <c r="E103" s="368"/>
      <c r="F103" s="120" t="s">
        <v>289</v>
      </c>
      <c r="G103" s="285" t="s">
        <v>140</v>
      </c>
      <c r="H103" s="240" t="s">
        <v>142</v>
      </c>
      <c r="I103" s="29"/>
      <c r="J103" s="286" t="s">
        <v>213</v>
      </c>
      <c r="K103" s="287">
        <f>L103+O103</f>
        <v>2</v>
      </c>
      <c r="L103" s="287">
        <f>IF(I103="m",(M103+N103)*2.5*V103/28,(M103+N103)*2*V103/28)</f>
        <v>2</v>
      </c>
      <c r="M103" s="288"/>
      <c r="N103" s="288">
        <v>2</v>
      </c>
      <c r="O103" s="287">
        <f>IF(I103="m",(P103+Q103)*1.5*V103/28,(P103+Q103)*1*V103/28)</f>
        <v>0</v>
      </c>
      <c r="P103" s="288"/>
      <c r="Q103" s="288"/>
      <c r="R103" s="25"/>
      <c r="S103" s="25"/>
      <c r="T103" s="25"/>
      <c r="U103" s="363"/>
      <c r="V103" s="77">
        <v>14</v>
      </c>
      <c r="W103" s="49"/>
      <c r="X103" s="2">
        <f t="shared" si="69"/>
        <v>2</v>
      </c>
      <c r="Y103" s="2">
        <f t="shared" si="70"/>
        <v>0</v>
      </c>
      <c r="Z103" s="2">
        <f t="shared" si="71"/>
        <v>2</v>
      </c>
      <c r="AA103" s="2">
        <f>SUM(X103:X113)</f>
        <v>5</v>
      </c>
      <c r="AB103" s="2">
        <f t="shared" ref="AB103:AC103" si="81">SUM(Y103:Y113)</f>
        <v>3</v>
      </c>
      <c r="AC103" s="2">
        <f t="shared" si="81"/>
        <v>5</v>
      </c>
      <c r="AD103" s="269">
        <f>AA103/16</f>
        <v>0.3125</v>
      </c>
      <c r="AE103" s="269">
        <f t="shared" ref="AE103:AF103" si="82">AB103/16</f>
        <v>0.1875</v>
      </c>
      <c r="AF103" s="269">
        <f t="shared" si="82"/>
        <v>0.3125</v>
      </c>
    </row>
    <row r="104" spans="1:32" ht="12.75" customHeight="1">
      <c r="A104" s="368"/>
      <c r="B104" s="385"/>
      <c r="C104" s="368"/>
      <c r="D104" s="368"/>
      <c r="E104" s="368"/>
      <c r="F104" s="120" t="s">
        <v>289</v>
      </c>
      <c r="G104" s="305" t="s">
        <v>186</v>
      </c>
      <c r="H104" s="290" t="s">
        <v>49</v>
      </c>
      <c r="I104" s="29"/>
      <c r="J104" s="290" t="s">
        <v>23</v>
      </c>
      <c r="K104" s="287">
        <f t="shared" ref="K104:K113" si="83">L104+O104</f>
        <v>2</v>
      </c>
      <c r="L104" s="287">
        <f t="shared" ref="L104:L113" si="84">IF(I104="m",(M104+N104)*2.5*V104/28,(M104+N104)*2*V104/28)</f>
        <v>2</v>
      </c>
      <c r="M104" s="288"/>
      <c r="N104" s="288">
        <v>2</v>
      </c>
      <c r="O104" s="287">
        <f t="shared" ref="O104:O113" si="85">IF(I104="m",(P104+Q104)*1.5*V104/28,(P104+Q104)*1*V104/28)</f>
        <v>0</v>
      </c>
      <c r="P104" s="288"/>
      <c r="Q104" s="291"/>
      <c r="R104" s="25"/>
      <c r="S104" s="25"/>
      <c r="T104" s="25"/>
      <c r="U104" s="363"/>
      <c r="V104" s="77">
        <v>14</v>
      </c>
      <c r="W104" s="49"/>
      <c r="X104" s="2">
        <f t="shared" si="69"/>
        <v>0</v>
      </c>
      <c r="Y104" s="2">
        <f t="shared" si="70"/>
        <v>2</v>
      </c>
      <c r="Z104" s="2">
        <f t="shared" si="71"/>
        <v>0</v>
      </c>
    </row>
    <row r="105" spans="1:32" ht="25.5" customHeight="1">
      <c r="A105" s="368"/>
      <c r="B105" s="385"/>
      <c r="C105" s="368"/>
      <c r="D105" s="368"/>
      <c r="E105" s="368"/>
      <c r="F105" s="120" t="s">
        <v>289</v>
      </c>
      <c r="G105" s="324" t="s">
        <v>158</v>
      </c>
      <c r="H105" s="240" t="s">
        <v>177</v>
      </c>
      <c r="I105" s="29"/>
      <c r="J105" s="240" t="s">
        <v>130</v>
      </c>
      <c r="K105" s="30">
        <f t="shared" ref="K105:K110" si="86">L105+O105</f>
        <v>2</v>
      </c>
      <c r="L105" s="287">
        <f t="shared" si="84"/>
        <v>0</v>
      </c>
      <c r="M105" s="29"/>
      <c r="N105" s="29"/>
      <c r="O105" s="287">
        <f t="shared" si="85"/>
        <v>2</v>
      </c>
      <c r="P105" s="29"/>
      <c r="Q105" s="240">
        <v>4</v>
      </c>
      <c r="R105" s="25"/>
      <c r="S105" s="25"/>
      <c r="T105" s="25"/>
      <c r="U105" s="363"/>
      <c r="V105" s="77">
        <v>14</v>
      </c>
      <c r="W105" s="49"/>
      <c r="X105" s="2">
        <f t="shared" ref="X105:X106" si="87">IF(ISNUMBER(SEARCH("Aut",H105)),K105, 0)</f>
        <v>0</v>
      </c>
      <c r="Y105" s="2">
        <f t="shared" ref="Y105:Y106" si="88">IF(ISNUMBER(SEARCH("Tst",H105)),K105, 0)</f>
        <v>0</v>
      </c>
      <c r="Z105" s="2">
        <f t="shared" ref="Z105:Z106" si="89">IF(ISNUMBER(SEARCH("Calc",H105)),K105, 0)</f>
        <v>0</v>
      </c>
    </row>
    <row r="106" spans="1:32" ht="25.5" customHeight="1">
      <c r="A106" s="368"/>
      <c r="B106" s="385"/>
      <c r="C106" s="368"/>
      <c r="D106" s="368"/>
      <c r="E106" s="368"/>
      <c r="F106" s="120" t="s">
        <v>289</v>
      </c>
      <c r="G106" s="304" t="s">
        <v>158</v>
      </c>
      <c r="H106" s="240" t="s">
        <v>55</v>
      </c>
      <c r="I106" s="29"/>
      <c r="J106" s="240" t="s">
        <v>65</v>
      </c>
      <c r="K106" s="30">
        <f t="shared" si="86"/>
        <v>1</v>
      </c>
      <c r="L106" s="287">
        <f t="shared" si="84"/>
        <v>0</v>
      </c>
      <c r="M106" s="29"/>
      <c r="N106" s="29"/>
      <c r="O106" s="287">
        <f t="shared" si="85"/>
        <v>1</v>
      </c>
      <c r="P106" s="29"/>
      <c r="Q106" s="240">
        <v>2</v>
      </c>
      <c r="R106" s="25"/>
      <c r="S106" s="25"/>
      <c r="T106" s="25"/>
      <c r="U106" s="363"/>
      <c r="V106" s="77">
        <v>14</v>
      </c>
      <c r="W106" s="49"/>
      <c r="X106" s="2">
        <f t="shared" si="87"/>
        <v>1</v>
      </c>
      <c r="Y106" s="2">
        <f t="shared" si="88"/>
        <v>0</v>
      </c>
      <c r="Z106" s="2">
        <f t="shared" si="89"/>
        <v>0</v>
      </c>
    </row>
    <row r="107" spans="1:32" ht="12.75" customHeight="1">
      <c r="A107" s="368"/>
      <c r="B107" s="385"/>
      <c r="C107" s="368"/>
      <c r="D107" s="368"/>
      <c r="E107" s="368"/>
      <c r="F107" s="120" t="s">
        <v>289</v>
      </c>
      <c r="G107" s="285" t="s">
        <v>253</v>
      </c>
      <c r="H107" s="240" t="s">
        <v>55</v>
      </c>
      <c r="I107" s="29"/>
      <c r="J107" s="240" t="s">
        <v>129</v>
      </c>
      <c r="K107" s="30">
        <f t="shared" si="86"/>
        <v>1</v>
      </c>
      <c r="L107" s="30">
        <f>IF(I107="m",(M107+N107)*2.5*V272/28,(M107+N107)*2*V272/28)</f>
        <v>0</v>
      </c>
      <c r="M107" s="29"/>
      <c r="N107" s="29"/>
      <c r="O107" s="30">
        <f>IF(I107="m",(P107+Q107)*1.5*V272/28,(P107+Q107)*1*V272/28)</f>
        <v>1</v>
      </c>
      <c r="P107" s="29"/>
      <c r="Q107" s="29">
        <v>2</v>
      </c>
      <c r="R107" s="49"/>
      <c r="S107" s="49"/>
      <c r="T107" s="25"/>
      <c r="U107" s="363"/>
      <c r="V107" s="77">
        <v>14</v>
      </c>
      <c r="W107" s="49"/>
      <c r="X107" s="2">
        <f>IF(ISNUMBER(SEARCH("Aut",H197)),K197, 0)</f>
        <v>0</v>
      </c>
      <c r="Y107" s="2">
        <f>IF(ISNUMBER(SEARCH("Tst",H197)),K197, 0)</f>
        <v>0</v>
      </c>
      <c r="Z107" s="2">
        <f>IF(ISNUMBER(SEARCH("Calc",H197)),K197, 0)</f>
        <v>1</v>
      </c>
    </row>
    <row r="108" spans="1:32" ht="25.5" customHeight="1">
      <c r="A108" s="368"/>
      <c r="B108" s="385"/>
      <c r="C108" s="368"/>
      <c r="D108" s="368"/>
      <c r="E108" s="368"/>
      <c r="F108" s="120" t="s">
        <v>289</v>
      </c>
      <c r="G108" s="285" t="s">
        <v>248</v>
      </c>
      <c r="H108" s="240" t="s">
        <v>177</v>
      </c>
      <c r="I108" s="29"/>
      <c r="J108" s="240" t="s">
        <v>130</v>
      </c>
      <c r="K108" s="30">
        <f t="shared" si="86"/>
        <v>2</v>
      </c>
      <c r="L108" s="30">
        <f>IF(I108="m",(M108+N108)*2.5*V273/28,(M108+N108)*2*V273/28)</f>
        <v>0</v>
      </c>
      <c r="M108" s="29"/>
      <c r="N108" s="29"/>
      <c r="O108" s="30">
        <f>IF(I108="m",(P108+Q108)*1.5*V273/28,(P108+Q108)*1*V273/28)</f>
        <v>2</v>
      </c>
      <c r="P108" s="29">
        <v>4</v>
      </c>
      <c r="Q108" s="240"/>
      <c r="R108" s="49"/>
      <c r="S108" s="49"/>
      <c r="T108" s="25"/>
      <c r="U108" s="363"/>
      <c r="V108" s="77">
        <v>14</v>
      </c>
      <c r="W108" s="49"/>
      <c r="X108" s="2">
        <f>IF(ISNUMBER(SEARCH("Aut",H109)),K109, 0)</f>
        <v>0</v>
      </c>
      <c r="Y108" s="2">
        <f>IF(ISNUMBER(SEARCH("Tst",H109)),K109, 0)</f>
        <v>0</v>
      </c>
      <c r="Z108" s="2">
        <f>IF(ISNUMBER(SEARCH("Calc",H109)),K109, 0)</f>
        <v>1</v>
      </c>
    </row>
    <row r="109" spans="1:32" ht="12.75" customHeight="1">
      <c r="A109" s="368"/>
      <c r="B109" s="385"/>
      <c r="C109" s="368"/>
      <c r="D109" s="368"/>
      <c r="E109" s="368"/>
      <c r="F109" s="120" t="s">
        <v>289</v>
      </c>
      <c r="G109" s="289" t="s">
        <v>119</v>
      </c>
      <c r="H109" s="286" t="s">
        <v>61</v>
      </c>
      <c r="I109" s="288"/>
      <c r="J109" s="286" t="s">
        <v>147</v>
      </c>
      <c r="K109" s="287">
        <f t="shared" si="86"/>
        <v>1</v>
      </c>
      <c r="L109" s="287">
        <f>IF(I109="m",(M109+N109)*2.5*V108/28,(M109+N109)*2*V108/28)</f>
        <v>0</v>
      </c>
      <c r="M109" s="288"/>
      <c r="N109" s="288"/>
      <c r="O109" s="287">
        <f>IF(I109="m",(P109+Q109)*1.5*V108/28,(P109+Q109)*1*V108/28)</f>
        <v>1</v>
      </c>
      <c r="P109" s="286">
        <v>2</v>
      </c>
      <c r="Q109" s="325"/>
      <c r="R109" s="49"/>
      <c r="S109" s="49"/>
      <c r="T109" s="25"/>
      <c r="U109" s="363"/>
      <c r="V109" s="77">
        <v>14</v>
      </c>
      <c r="W109" s="49"/>
      <c r="X109" s="2">
        <f>IF(ISNUMBER(SEARCH("Aut",H48)),K48, 0)</f>
        <v>0</v>
      </c>
      <c r="Y109" s="2">
        <f>IF(ISNUMBER(SEARCH("Tst",H48)),K48, 0)</f>
        <v>1</v>
      </c>
      <c r="Z109" s="2">
        <f>IF(ISNUMBER(SEARCH("Calc",H48)),K48, 0)</f>
        <v>0</v>
      </c>
    </row>
    <row r="110" spans="1:32" ht="25.5" customHeight="1">
      <c r="A110" s="368"/>
      <c r="B110" s="385"/>
      <c r="C110" s="368"/>
      <c r="D110" s="368"/>
      <c r="E110" s="368"/>
      <c r="F110" s="120" t="s">
        <v>289</v>
      </c>
      <c r="G110" s="285" t="s">
        <v>119</v>
      </c>
      <c r="H110" s="240" t="s">
        <v>55</v>
      </c>
      <c r="I110" s="29"/>
      <c r="J110" s="240" t="s">
        <v>129</v>
      </c>
      <c r="K110" s="30">
        <f t="shared" si="86"/>
        <v>1</v>
      </c>
      <c r="L110" s="287">
        <f>IF(I110="m",(M110+N110)*2.5*V110/28,(M110+N110)*2*V110/28)</f>
        <v>0</v>
      </c>
      <c r="M110" s="29"/>
      <c r="N110" s="29"/>
      <c r="O110" s="287">
        <f>IF(I110="m",(P110+Q110)*1.5*V110/28,(P110+Q110)*1*V110/28)</f>
        <v>1</v>
      </c>
      <c r="P110" s="29">
        <v>2</v>
      </c>
      <c r="Q110" s="29"/>
      <c r="R110" s="49"/>
      <c r="S110" s="49"/>
      <c r="T110" s="25"/>
      <c r="U110" s="363"/>
      <c r="V110" s="77">
        <v>14</v>
      </c>
      <c r="W110" s="49"/>
      <c r="X110" s="2">
        <f t="shared" si="69"/>
        <v>1</v>
      </c>
      <c r="Y110" s="2">
        <f t="shared" si="70"/>
        <v>0</v>
      </c>
      <c r="Z110" s="2">
        <f t="shared" si="71"/>
        <v>0</v>
      </c>
    </row>
    <row r="111" spans="1:32" ht="25.5" customHeight="1">
      <c r="A111" s="368"/>
      <c r="B111" s="385"/>
      <c r="C111" s="368"/>
      <c r="D111" s="368"/>
      <c r="E111" s="368"/>
      <c r="F111" s="120" t="s">
        <v>289</v>
      </c>
      <c r="G111" s="285" t="s">
        <v>119</v>
      </c>
      <c r="H111" s="240" t="s">
        <v>55</v>
      </c>
      <c r="I111" s="29"/>
      <c r="J111" s="240" t="s">
        <v>129</v>
      </c>
      <c r="K111" s="30">
        <f t="shared" si="83"/>
        <v>1</v>
      </c>
      <c r="L111" s="287">
        <f t="shared" si="84"/>
        <v>0</v>
      </c>
      <c r="M111" s="29"/>
      <c r="N111" s="29"/>
      <c r="O111" s="287">
        <f t="shared" si="85"/>
        <v>1</v>
      </c>
      <c r="P111" s="29">
        <v>2</v>
      </c>
      <c r="Q111" s="29"/>
      <c r="R111" s="25"/>
      <c r="S111" s="25"/>
      <c r="T111" s="25"/>
      <c r="U111" s="363"/>
      <c r="V111" s="77">
        <v>14</v>
      </c>
      <c r="W111" s="49"/>
      <c r="X111" s="2">
        <f t="shared" si="69"/>
        <v>1</v>
      </c>
      <c r="Y111" s="2">
        <f t="shared" si="70"/>
        <v>0</v>
      </c>
      <c r="Z111" s="2">
        <f t="shared" si="71"/>
        <v>0</v>
      </c>
    </row>
    <row r="112" spans="1:32" ht="25.5" customHeight="1">
      <c r="A112" s="368"/>
      <c r="B112" s="385"/>
      <c r="C112" s="368"/>
      <c r="D112" s="368"/>
      <c r="E112" s="368"/>
      <c r="F112" s="120" t="s">
        <v>289</v>
      </c>
      <c r="G112" s="285" t="s">
        <v>173</v>
      </c>
      <c r="H112" s="240" t="s">
        <v>61</v>
      </c>
      <c r="I112" s="29"/>
      <c r="J112" s="240" t="s">
        <v>126</v>
      </c>
      <c r="K112" s="30">
        <f t="shared" si="83"/>
        <v>1</v>
      </c>
      <c r="L112" s="287">
        <f t="shared" si="84"/>
        <v>0</v>
      </c>
      <c r="M112" s="29"/>
      <c r="N112" s="29"/>
      <c r="O112" s="287">
        <f t="shared" si="85"/>
        <v>1</v>
      </c>
      <c r="P112" s="29">
        <v>2</v>
      </c>
      <c r="Q112" s="315"/>
      <c r="R112" s="49"/>
      <c r="S112" s="49"/>
      <c r="T112" s="25"/>
      <c r="U112" s="363"/>
      <c r="V112" s="77">
        <v>14</v>
      </c>
      <c r="W112" s="49"/>
      <c r="X112" s="2">
        <f t="shared" si="69"/>
        <v>0</v>
      </c>
      <c r="Y112" s="2">
        <f t="shared" si="70"/>
        <v>0</v>
      </c>
      <c r="Z112" s="2">
        <f t="shared" si="71"/>
        <v>1</v>
      </c>
    </row>
    <row r="113" spans="1:32" ht="26.25" customHeight="1" thickBot="1">
      <c r="A113" s="368"/>
      <c r="B113" s="385"/>
      <c r="C113" s="368"/>
      <c r="D113" s="368"/>
      <c r="E113" s="368"/>
      <c r="F113" s="120" t="s">
        <v>289</v>
      </c>
      <c r="G113" s="285" t="s">
        <v>173</v>
      </c>
      <c r="H113" s="240" t="s">
        <v>177</v>
      </c>
      <c r="I113" s="29"/>
      <c r="J113" s="240" t="s">
        <v>126</v>
      </c>
      <c r="K113" s="30">
        <f t="shared" si="83"/>
        <v>2</v>
      </c>
      <c r="L113" s="287">
        <f t="shared" si="84"/>
        <v>0</v>
      </c>
      <c r="M113" s="29"/>
      <c r="N113" s="29"/>
      <c r="O113" s="287">
        <f t="shared" si="85"/>
        <v>2</v>
      </c>
      <c r="P113" s="240">
        <v>4</v>
      </c>
      <c r="Q113" s="240"/>
      <c r="R113" s="49"/>
      <c r="S113" s="49"/>
      <c r="T113" s="25"/>
      <c r="U113" s="363"/>
      <c r="V113" s="77">
        <v>14</v>
      </c>
      <c r="W113" s="49"/>
      <c r="X113" s="2">
        <f t="shared" si="69"/>
        <v>0</v>
      </c>
      <c r="Y113" s="2">
        <f t="shared" si="70"/>
        <v>0</v>
      </c>
      <c r="Z113" s="2">
        <f t="shared" si="71"/>
        <v>0</v>
      </c>
    </row>
    <row r="114" spans="1:32" ht="12.75" customHeight="1">
      <c r="A114" s="367">
        <v>11</v>
      </c>
      <c r="B114" s="367" t="s">
        <v>155</v>
      </c>
      <c r="C114" s="387"/>
      <c r="D114" s="367" t="s">
        <v>155</v>
      </c>
      <c r="E114" s="367" t="s">
        <v>282</v>
      </c>
      <c r="F114" s="367" t="s">
        <v>15</v>
      </c>
      <c r="G114" s="376"/>
      <c r="H114" s="376"/>
      <c r="I114" s="375"/>
      <c r="J114" s="127">
        <v>16</v>
      </c>
      <c r="K114" s="131">
        <f>SUM(K116:K122)</f>
        <v>12</v>
      </c>
      <c r="L114" s="364">
        <f>SUM(L116:L122)</f>
        <v>4</v>
      </c>
      <c r="M114" s="364">
        <f t="shared" ref="M114:Q114" si="90">SUM(M116:M122)</f>
        <v>2</v>
      </c>
      <c r="N114" s="364">
        <f t="shared" si="90"/>
        <v>2</v>
      </c>
      <c r="O114" s="364">
        <f t="shared" si="90"/>
        <v>8</v>
      </c>
      <c r="P114" s="364">
        <f t="shared" si="90"/>
        <v>6</v>
      </c>
      <c r="Q114" s="365">
        <f t="shared" si="90"/>
        <v>10</v>
      </c>
      <c r="R114" s="128">
        <f>J114-K114</f>
        <v>4</v>
      </c>
      <c r="S114" s="233">
        <f>S115/28</f>
        <v>5</v>
      </c>
      <c r="T114" s="233"/>
      <c r="U114" s="362"/>
      <c r="V114" s="209"/>
      <c r="W114" s="106"/>
      <c r="X114" s="2">
        <f t="shared" si="69"/>
        <v>0</v>
      </c>
      <c r="Y114" s="2">
        <f t="shared" si="70"/>
        <v>0</v>
      </c>
      <c r="Z114" s="2">
        <f t="shared" si="71"/>
        <v>0</v>
      </c>
      <c r="AA114" s="2">
        <f>SUM(X114:X122)</f>
        <v>2</v>
      </c>
      <c r="AB114" s="2">
        <f>SUM(Y114:Y122)</f>
        <v>6</v>
      </c>
      <c r="AC114" s="2">
        <f>SUM(Z114:Z122)</f>
        <v>10</v>
      </c>
      <c r="AD114" s="270">
        <f>AA114/11</f>
        <v>0.18181818181818182</v>
      </c>
      <c r="AE114" s="270">
        <f t="shared" ref="AE114:AF114" si="91">AB114/11</f>
        <v>0.54545454545454541</v>
      </c>
      <c r="AF114" s="270">
        <f t="shared" si="91"/>
        <v>0.90909090909090906</v>
      </c>
    </row>
    <row r="115" spans="1:32" ht="12.75" customHeight="1" thickBot="1">
      <c r="A115" s="368"/>
      <c r="B115" s="368"/>
      <c r="C115" s="383"/>
      <c r="D115" s="368"/>
      <c r="E115" s="368"/>
      <c r="F115" s="368"/>
      <c r="G115" s="370"/>
      <c r="H115" s="371"/>
      <c r="I115" s="373"/>
      <c r="J115" s="129">
        <v>448</v>
      </c>
      <c r="K115" s="132">
        <f>K114*28</f>
        <v>336</v>
      </c>
      <c r="L115" s="361"/>
      <c r="M115" s="361"/>
      <c r="N115" s="361"/>
      <c r="O115" s="361"/>
      <c r="P115" s="361"/>
      <c r="Q115" s="366"/>
      <c r="R115" s="126">
        <f>J115-K115</f>
        <v>112</v>
      </c>
      <c r="S115" s="108">
        <f>SUM(S116:S122)</f>
        <v>140</v>
      </c>
      <c r="T115" s="16"/>
      <c r="U115" s="363"/>
      <c r="V115" s="77"/>
      <c r="W115" s="49"/>
      <c r="X115" s="2">
        <f t="shared" si="69"/>
        <v>0</v>
      </c>
      <c r="Y115" s="2">
        <f t="shared" si="70"/>
        <v>0</v>
      </c>
      <c r="Z115" s="2">
        <f t="shared" si="71"/>
        <v>0</v>
      </c>
      <c r="AD115" s="262"/>
      <c r="AE115" s="262"/>
      <c r="AF115" s="262"/>
    </row>
    <row r="116" spans="1:32" ht="12.75" customHeight="1">
      <c r="A116" s="368"/>
      <c r="B116" s="368"/>
      <c r="C116" s="383"/>
      <c r="D116" s="368"/>
      <c r="E116" s="368"/>
      <c r="F116" s="368"/>
      <c r="G116" s="118" t="s">
        <v>151</v>
      </c>
      <c r="H116" s="119" t="s">
        <v>152</v>
      </c>
      <c r="I116" s="25"/>
      <c r="J116" s="119" t="s">
        <v>50</v>
      </c>
      <c r="K116" s="117">
        <f t="shared" ref="K116:K122" si="92">L116+O116</f>
        <v>2</v>
      </c>
      <c r="L116" s="117">
        <f t="shared" ref="L116:L122" si="93">IF(I116="m",(M116+N116)*2.5*V116/28,(M116+N116)*2*V116/28)</f>
        <v>2</v>
      </c>
      <c r="M116" s="116">
        <v>2</v>
      </c>
      <c r="N116" s="116"/>
      <c r="O116" s="117">
        <f t="shared" ref="O116:O122" si="94">IF(I116="m",(P116+Q116)*1.5*V116/28,(P116+Q116)*1*V116/28)</f>
        <v>0</v>
      </c>
      <c r="P116" s="116"/>
      <c r="Q116" s="116"/>
      <c r="R116" s="25" t="s">
        <v>38</v>
      </c>
      <c r="S116" s="25">
        <v>125</v>
      </c>
      <c r="T116" s="25"/>
      <c r="U116" s="363"/>
      <c r="V116" s="77">
        <v>14</v>
      </c>
      <c r="W116" s="49"/>
      <c r="X116" s="2">
        <f t="shared" si="69"/>
        <v>0</v>
      </c>
      <c r="Y116" s="2">
        <f t="shared" si="70"/>
        <v>2</v>
      </c>
      <c r="Z116" s="2">
        <f t="shared" si="71"/>
        <v>2</v>
      </c>
      <c r="AD116" s="262"/>
      <c r="AE116" s="262"/>
      <c r="AF116" s="262"/>
    </row>
    <row r="117" spans="1:32" ht="25.5" customHeight="1">
      <c r="A117" s="368"/>
      <c r="B117" s="368"/>
      <c r="C117" s="383"/>
      <c r="D117" s="368"/>
      <c r="E117" s="368"/>
      <c r="F117" s="368"/>
      <c r="G117" s="300" t="s">
        <v>154</v>
      </c>
      <c r="H117" s="59" t="s">
        <v>153</v>
      </c>
      <c r="I117" s="25"/>
      <c r="J117" s="59" t="s">
        <v>217</v>
      </c>
      <c r="K117" s="35">
        <f t="shared" si="92"/>
        <v>2</v>
      </c>
      <c r="L117" s="117">
        <f t="shared" si="93"/>
        <v>2</v>
      </c>
      <c r="M117" s="25"/>
      <c r="N117" s="25">
        <v>2</v>
      </c>
      <c r="O117" s="117">
        <f t="shared" si="94"/>
        <v>0</v>
      </c>
      <c r="P117" s="25"/>
      <c r="Q117" s="25"/>
      <c r="R117" s="25" t="s">
        <v>234</v>
      </c>
      <c r="S117" s="25">
        <v>15</v>
      </c>
      <c r="T117" s="25"/>
      <c r="U117" s="363"/>
      <c r="V117" s="77">
        <v>14</v>
      </c>
      <c r="W117" s="49"/>
      <c r="X117" s="2">
        <f t="shared" si="69"/>
        <v>2</v>
      </c>
      <c r="Y117" s="2">
        <f t="shared" si="70"/>
        <v>2</v>
      </c>
      <c r="Z117" s="2">
        <f t="shared" si="71"/>
        <v>2</v>
      </c>
      <c r="AD117" s="262"/>
      <c r="AE117" s="262"/>
      <c r="AF117" s="262"/>
    </row>
    <row r="118" spans="1:32" ht="12.75" customHeight="1">
      <c r="A118" s="368"/>
      <c r="B118" s="368"/>
      <c r="C118" s="383"/>
      <c r="D118" s="368"/>
      <c r="E118" s="368"/>
      <c r="F118" s="368"/>
      <c r="G118" s="109" t="s">
        <v>154</v>
      </c>
      <c r="H118" s="59" t="s">
        <v>61</v>
      </c>
      <c r="I118" s="25"/>
      <c r="J118" s="59" t="s">
        <v>126</v>
      </c>
      <c r="K118" s="35">
        <f t="shared" si="92"/>
        <v>2</v>
      </c>
      <c r="L118" s="117">
        <f t="shared" si="93"/>
        <v>0</v>
      </c>
      <c r="M118" s="25"/>
      <c r="N118" s="25"/>
      <c r="O118" s="117">
        <f t="shared" si="94"/>
        <v>2</v>
      </c>
      <c r="P118" s="25"/>
      <c r="Q118" s="25">
        <v>4</v>
      </c>
      <c r="R118" s="25"/>
      <c r="S118" s="25"/>
      <c r="T118" s="25"/>
      <c r="U118" s="363"/>
      <c r="V118" s="77">
        <v>14</v>
      </c>
      <c r="W118" s="49"/>
      <c r="X118" s="2">
        <f t="shared" si="69"/>
        <v>0</v>
      </c>
      <c r="Y118" s="2">
        <f t="shared" si="70"/>
        <v>0</v>
      </c>
      <c r="Z118" s="2">
        <f t="shared" si="71"/>
        <v>2</v>
      </c>
      <c r="AD118" s="262"/>
      <c r="AE118" s="262"/>
      <c r="AF118" s="262"/>
    </row>
    <row r="119" spans="1:32" ht="12.75" customHeight="1">
      <c r="A119" s="368"/>
      <c r="B119" s="368"/>
      <c r="C119" s="383"/>
      <c r="D119" s="368"/>
      <c r="E119" s="368"/>
      <c r="F119" s="368"/>
      <c r="G119" s="109" t="s">
        <v>158</v>
      </c>
      <c r="H119" s="119" t="s">
        <v>61</v>
      </c>
      <c r="I119" s="25"/>
      <c r="J119" s="119" t="s">
        <v>130</v>
      </c>
      <c r="K119" s="35">
        <f t="shared" si="92"/>
        <v>2</v>
      </c>
      <c r="L119" s="117">
        <f t="shared" si="93"/>
        <v>0</v>
      </c>
      <c r="M119" s="25"/>
      <c r="N119" s="25"/>
      <c r="O119" s="117">
        <f t="shared" si="94"/>
        <v>2</v>
      </c>
      <c r="P119" s="25"/>
      <c r="Q119" s="25">
        <v>4</v>
      </c>
      <c r="R119" s="16"/>
      <c r="S119" s="16"/>
      <c r="T119" s="25"/>
      <c r="U119" s="363"/>
      <c r="V119" s="77">
        <v>14</v>
      </c>
      <c r="W119" s="49"/>
      <c r="X119" s="2">
        <f t="shared" si="69"/>
        <v>0</v>
      </c>
      <c r="Y119" s="2">
        <f t="shared" si="70"/>
        <v>0</v>
      </c>
      <c r="Z119" s="2">
        <f t="shared" si="71"/>
        <v>2</v>
      </c>
      <c r="AD119" s="262"/>
      <c r="AE119" s="262"/>
      <c r="AF119" s="262"/>
    </row>
    <row r="120" spans="1:32" ht="12.75" customHeight="1">
      <c r="A120" s="368"/>
      <c r="B120" s="368"/>
      <c r="C120" s="383"/>
      <c r="D120" s="368"/>
      <c r="E120" s="368"/>
      <c r="F120" s="368"/>
      <c r="G120" s="301" t="s">
        <v>154</v>
      </c>
      <c r="H120" s="133" t="s">
        <v>49</v>
      </c>
      <c r="I120" s="25"/>
      <c r="J120" s="133" t="s">
        <v>147</v>
      </c>
      <c r="K120" s="35">
        <f>L120+O120</f>
        <v>1</v>
      </c>
      <c r="L120" s="117">
        <f t="shared" si="93"/>
        <v>0</v>
      </c>
      <c r="M120" s="25"/>
      <c r="N120" s="25"/>
      <c r="O120" s="117">
        <f t="shared" si="94"/>
        <v>1</v>
      </c>
      <c r="P120" s="25"/>
      <c r="Q120" s="133">
        <v>2</v>
      </c>
      <c r="R120" s="16"/>
      <c r="S120" s="16"/>
      <c r="T120" s="25"/>
      <c r="U120" s="363"/>
      <c r="V120" s="77">
        <v>14</v>
      </c>
      <c r="W120" s="49"/>
      <c r="X120" s="2">
        <f t="shared" ref="X120" si="95">IF(ISNUMBER(SEARCH("Aut",H120)),K120, 0)</f>
        <v>0</v>
      </c>
      <c r="Y120" s="2">
        <f t="shared" ref="Y120" si="96">IF(ISNUMBER(SEARCH("Tst",H120)),K120, 0)</f>
        <v>1</v>
      </c>
      <c r="Z120" s="2">
        <f t="shared" ref="Z120" si="97">IF(ISNUMBER(SEARCH("Calc",H120)),K120, 0)</f>
        <v>0</v>
      </c>
      <c r="AD120" s="262"/>
      <c r="AE120" s="262"/>
      <c r="AF120" s="262"/>
    </row>
    <row r="121" spans="1:32" ht="12.75" customHeight="1">
      <c r="A121" s="368"/>
      <c r="B121" s="368"/>
      <c r="C121" s="383"/>
      <c r="D121" s="368"/>
      <c r="E121" s="368"/>
      <c r="F121" s="368"/>
      <c r="G121" s="109" t="s">
        <v>151</v>
      </c>
      <c r="H121" s="59" t="s">
        <v>49</v>
      </c>
      <c r="I121" s="25"/>
      <c r="J121" s="59" t="s">
        <v>65</v>
      </c>
      <c r="K121" s="35">
        <f t="shared" si="92"/>
        <v>1</v>
      </c>
      <c r="L121" s="117">
        <f t="shared" si="93"/>
        <v>0</v>
      </c>
      <c r="M121" s="25"/>
      <c r="N121" s="25"/>
      <c r="O121" s="117">
        <f t="shared" si="94"/>
        <v>1</v>
      </c>
      <c r="P121" s="25">
        <v>2</v>
      </c>
      <c r="Q121" s="59"/>
      <c r="R121" s="49"/>
      <c r="S121" s="49"/>
      <c r="T121" s="25"/>
      <c r="U121" s="363"/>
      <c r="V121" s="77">
        <v>14</v>
      </c>
      <c r="W121" s="49"/>
      <c r="X121" s="2">
        <f t="shared" si="69"/>
        <v>0</v>
      </c>
      <c r="Y121" s="2">
        <f t="shared" si="70"/>
        <v>1</v>
      </c>
      <c r="Z121" s="2">
        <f t="shared" si="71"/>
        <v>0</v>
      </c>
      <c r="AD121" s="262"/>
      <c r="AE121" s="262"/>
      <c r="AF121" s="262"/>
    </row>
    <row r="122" spans="1:32" ht="26.25" customHeight="1" thickBot="1">
      <c r="A122" s="368"/>
      <c r="B122" s="368"/>
      <c r="C122" s="383"/>
      <c r="D122" s="368"/>
      <c r="E122" s="368"/>
      <c r="F122" s="368"/>
      <c r="G122" s="118" t="s">
        <v>151</v>
      </c>
      <c r="H122" s="59" t="s">
        <v>61</v>
      </c>
      <c r="I122" s="25"/>
      <c r="J122" s="59" t="s">
        <v>130</v>
      </c>
      <c r="K122" s="35">
        <f t="shared" si="92"/>
        <v>2</v>
      </c>
      <c r="L122" s="117">
        <f t="shared" si="93"/>
        <v>0</v>
      </c>
      <c r="M122" s="25"/>
      <c r="N122" s="25"/>
      <c r="O122" s="117">
        <f t="shared" si="94"/>
        <v>2</v>
      </c>
      <c r="P122" s="25">
        <v>4</v>
      </c>
      <c r="Q122" s="25"/>
      <c r="R122" s="25"/>
      <c r="S122" s="25"/>
      <c r="T122" s="25"/>
      <c r="U122" s="363"/>
      <c r="V122" s="77">
        <v>14</v>
      </c>
      <c r="W122" s="49"/>
      <c r="X122" s="2">
        <f t="shared" si="69"/>
        <v>0</v>
      </c>
      <c r="Y122" s="2">
        <f t="shared" si="70"/>
        <v>0</v>
      </c>
      <c r="Z122" s="2">
        <f t="shared" si="71"/>
        <v>2</v>
      </c>
      <c r="AD122" s="262"/>
      <c r="AE122" s="262"/>
      <c r="AF122" s="262"/>
    </row>
    <row r="123" spans="1:32" ht="15.75" customHeight="1">
      <c r="A123" s="367">
        <v>12</v>
      </c>
      <c r="B123" s="367" t="s">
        <v>155</v>
      </c>
      <c r="C123" s="387"/>
      <c r="D123" s="367" t="s">
        <v>155</v>
      </c>
      <c r="E123" s="367" t="s">
        <v>257</v>
      </c>
      <c r="F123" s="367" t="s">
        <v>15</v>
      </c>
      <c r="G123" s="376"/>
      <c r="H123" s="376"/>
      <c r="I123" s="375"/>
      <c r="J123" s="127">
        <v>16</v>
      </c>
      <c r="K123" s="131">
        <f>SUM(K125:K131)</f>
        <v>12</v>
      </c>
      <c r="L123" s="364">
        <f>SUM(L125:L131)</f>
        <v>4</v>
      </c>
      <c r="M123" s="364">
        <f t="shared" ref="M123:Q123" si="98">SUM(M125:M131)</f>
        <v>4</v>
      </c>
      <c r="N123" s="364">
        <f t="shared" si="98"/>
        <v>0</v>
      </c>
      <c r="O123" s="364">
        <f t="shared" si="98"/>
        <v>8</v>
      </c>
      <c r="P123" s="364">
        <f t="shared" si="98"/>
        <v>12</v>
      </c>
      <c r="Q123" s="365">
        <f t="shared" si="98"/>
        <v>4</v>
      </c>
      <c r="R123" s="128">
        <f>J123-K123</f>
        <v>4</v>
      </c>
      <c r="S123" s="233">
        <f>S124/28</f>
        <v>5</v>
      </c>
      <c r="T123" s="233"/>
      <c r="U123" s="362"/>
      <c r="V123" s="209"/>
      <c r="W123" s="106"/>
      <c r="X123" s="2">
        <f t="shared" si="69"/>
        <v>0</v>
      </c>
      <c r="Y123" s="2">
        <f t="shared" si="70"/>
        <v>0</v>
      </c>
      <c r="Z123" s="2">
        <f t="shared" si="71"/>
        <v>0</v>
      </c>
      <c r="AA123" s="2">
        <f>SUM(X123:X131)</f>
        <v>10</v>
      </c>
      <c r="AB123" s="2">
        <f>SUM(Y123:Y131)</f>
        <v>0</v>
      </c>
      <c r="AC123" s="2">
        <f>SUM(Z123:Z131)</f>
        <v>2</v>
      </c>
      <c r="AD123" s="270">
        <f t="shared" ref="AD123" si="99">AA123/11</f>
        <v>0.90909090909090906</v>
      </c>
      <c r="AE123" s="270">
        <f t="shared" ref="AE123" si="100">AB123/11</f>
        <v>0</v>
      </c>
      <c r="AF123" s="270">
        <f t="shared" ref="AF123" si="101">AC123/11</f>
        <v>0.18181818181818182</v>
      </c>
    </row>
    <row r="124" spans="1:32" ht="12.75" customHeight="1" thickBot="1">
      <c r="A124" s="368"/>
      <c r="B124" s="368"/>
      <c r="C124" s="383"/>
      <c r="D124" s="368"/>
      <c r="E124" s="368"/>
      <c r="F124" s="368"/>
      <c r="G124" s="370"/>
      <c r="H124" s="371"/>
      <c r="I124" s="373"/>
      <c r="J124" s="129">
        <v>448</v>
      </c>
      <c r="K124" s="132">
        <f>K123*28</f>
        <v>336</v>
      </c>
      <c r="L124" s="361"/>
      <c r="M124" s="361"/>
      <c r="N124" s="361"/>
      <c r="O124" s="361"/>
      <c r="P124" s="361"/>
      <c r="Q124" s="366"/>
      <c r="R124" s="126">
        <f>J124-K124</f>
        <v>112</v>
      </c>
      <c r="S124" s="108">
        <f>SUM(S125:S131)</f>
        <v>140</v>
      </c>
      <c r="T124" s="16"/>
      <c r="U124" s="363"/>
      <c r="V124" s="77"/>
      <c r="W124" s="49"/>
      <c r="X124" s="2">
        <f t="shared" si="69"/>
        <v>0</v>
      </c>
      <c r="Y124" s="2">
        <f t="shared" si="70"/>
        <v>0</v>
      </c>
      <c r="Z124" s="2">
        <f t="shared" si="71"/>
        <v>0</v>
      </c>
      <c r="AD124" s="262"/>
      <c r="AE124" s="262"/>
      <c r="AF124" s="262"/>
    </row>
    <row r="125" spans="1:32" ht="12.75" customHeight="1">
      <c r="A125" s="368"/>
      <c r="B125" s="368"/>
      <c r="C125" s="383"/>
      <c r="D125" s="368"/>
      <c r="E125" s="368"/>
      <c r="F125" s="368"/>
      <c r="G125" s="109" t="s">
        <v>218</v>
      </c>
      <c r="H125" s="59" t="s">
        <v>55</v>
      </c>
      <c r="I125" s="25"/>
      <c r="J125" s="302" t="s">
        <v>23</v>
      </c>
      <c r="K125" s="117">
        <f t="shared" ref="K125:K131" si="102">L125+O125</f>
        <v>2</v>
      </c>
      <c r="L125" s="117">
        <f t="shared" ref="L125:L131" si="103">IF(I125="m",(M125+N125)*2.5*V125/28,(M125+N125)*2*V125/28)</f>
        <v>2</v>
      </c>
      <c r="M125" s="116">
        <v>2</v>
      </c>
      <c r="N125" s="116"/>
      <c r="O125" s="117">
        <f t="shared" ref="O125:O131" si="104">IF(I125="m",(P125+Q125)*1.5*V125/28,(P125+Q125)*1*V125/28)</f>
        <v>0</v>
      </c>
      <c r="P125" s="116"/>
      <c r="Q125" s="116"/>
      <c r="R125" s="25" t="s">
        <v>38</v>
      </c>
      <c r="S125" s="25">
        <v>34</v>
      </c>
      <c r="T125" s="25"/>
      <c r="U125" s="363"/>
      <c r="V125" s="77">
        <v>14</v>
      </c>
      <c r="W125" s="49"/>
      <c r="X125" s="2">
        <f t="shared" si="69"/>
        <v>2</v>
      </c>
      <c r="Y125" s="2">
        <f t="shared" si="70"/>
        <v>0</v>
      </c>
      <c r="Z125" s="2">
        <f t="shared" si="71"/>
        <v>0</v>
      </c>
      <c r="AD125" s="262"/>
      <c r="AE125" s="262"/>
      <c r="AF125" s="262"/>
    </row>
    <row r="126" spans="1:32" ht="12.75" customHeight="1">
      <c r="A126" s="368"/>
      <c r="B126" s="368"/>
      <c r="C126" s="383"/>
      <c r="D126" s="368"/>
      <c r="E126" s="368"/>
      <c r="F126" s="368"/>
      <c r="G126" s="109" t="s">
        <v>157</v>
      </c>
      <c r="H126" s="59" t="s">
        <v>55</v>
      </c>
      <c r="I126" s="25"/>
      <c r="J126" s="59" t="s">
        <v>24</v>
      </c>
      <c r="K126" s="117">
        <f t="shared" si="102"/>
        <v>2</v>
      </c>
      <c r="L126" s="117">
        <f t="shared" si="103"/>
        <v>2</v>
      </c>
      <c r="M126" s="116">
        <v>2</v>
      </c>
      <c r="N126" s="116"/>
      <c r="O126" s="117">
        <f t="shared" si="104"/>
        <v>0</v>
      </c>
      <c r="P126" s="25"/>
      <c r="Q126" s="25"/>
      <c r="R126" s="25" t="s">
        <v>39</v>
      </c>
      <c r="S126" s="25">
        <v>50</v>
      </c>
      <c r="T126" s="25"/>
      <c r="U126" s="363"/>
      <c r="V126" s="77">
        <v>14</v>
      </c>
      <c r="W126" s="49"/>
      <c r="X126" s="2">
        <f t="shared" si="69"/>
        <v>2</v>
      </c>
      <c r="Y126" s="2">
        <f t="shared" si="70"/>
        <v>0</v>
      </c>
      <c r="Z126" s="2">
        <f t="shared" si="71"/>
        <v>0</v>
      </c>
      <c r="AD126" s="262"/>
      <c r="AE126" s="262"/>
      <c r="AF126" s="262"/>
    </row>
    <row r="127" spans="1:32" ht="12.75" customHeight="1">
      <c r="A127" s="368"/>
      <c r="B127" s="368"/>
      <c r="C127" s="383"/>
      <c r="D127" s="368"/>
      <c r="E127" s="368"/>
      <c r="F127" s="368"/>
      <c r="G127" s="109" t="s">
        <v>218</v>
      </c>
      <c r="H127" s="59" t="s">
        <v>55</v>
      </c>
      <c r="I127" s="25"/>
      <c r="J127" s="59" t="s">
        <v>126</v>
      </c>
      <c r="K127" s="35">
        <f t="shared" si="102"/>
        <v>2</v>
      </c>
      <c r="L127" s="117">
        <f t="shared" si="103"/>
        <v>0</v>
      </c>
      <c r="M127" s="25"/>
      <c r="N127" s="25"/>
      <c r="O127" s="117">
        <f t="shared" si="104"/>
        <v>2</v>
      </c>
      <c r="P127" s="25">
        <v>4</v>
      </c>
      <c r="Q127" s="25"/>
      <c r="R127" s="1" t="s">
        <v>233</v>
      </c>
      <c r="S127" s="25">
        <v>56</v>
      </c>
      <c r="T127" s="25"/>
      <c r="U127" s="363"/>
      <c r="V127" s="77">
        <v>14</v>
      </c>
      <c r="W127" s="49"/>
      <c r="X127" s="2">
        <f t="shared" si="69"/>
        <v>2</v>
      </c>
      <c r="Y127" s="2">
        <f t="shared" si="70"/>
        <v>0</v>
      </c>
      <c r="Z127" s="2">
        <f t="shared" si="71"/>
        <v>0</v>
      </c>
      <c r="AD127" s="262"/>
      <c r="AE127" s="262"/>
      <c r="AF127" s="262"/>
    </row>
    <row r="128" spans="1:32" ht="12.75" customHeight="1">
      <c r="A128" s="368"/>
      <c r="B128" s="368"/>
      <c r="C128" s="383"/>
      <c r="D128" s="368"/>
      <c r="E128" s="368"/>
      <c r="F128" s="368"/>
      <c r="G128" s="109" t="s">
        <v>157</v>
      </c>
      <c r="H128" s="59" t="s">
        <v>55</v>
      </c>
      <c r="I128" s="25"/>
      <c r="J128" s="59" t="s">
        <v>129</v>
      </c>
      <c r="K128" s="35">
        <f t="shared" si="102"/>
        <v>1</v>
      </c>
      <c r="L128" s="117">
        <f t="shared" si="103"/>
        <v>0</v>
      </c>
      <c r="M128" s="25"/>
      <c r="N128" s="25"/>
      <c r="O128" s="117">
        <f t="shared" si="104"/>
        <v>1</v>
      </c>
      <c r="P128" s="25">
        <v>2</v>
      </c>
      <c r="Q128" s="25"/>
      <c r="R128" s="49"/>
      <c r="S128" s="49"/>
      <c r="T128" s="25"/>
      <c r="U128" s="363"/>
      <c r="V128" s="77">
        <v>14</v>
      </c>
      <c r="W128" s="49"/>
      <c r="X128" s="2">
        <f t="shared" si="69"/>
        <v>1</v>
      </c>
      <c r="Y128" s="2">
        <f t="shared" si="70"/>
        <v>0</v>
      </c>
      <c r="Z128" s="2">
        <f t="shared" si="71"/>
        <v>0</v>
      </c>
      <c r="AD128" s="262"/>
      <c r="AE128" s="262"/>
      <c r="AF128" s="262"/>
    </row>
    <row r="129" spans="1:32" ht="12.75" customHeight="1">
      <c r="A129" s="368"/>
      <c r="B129" s="368"/>
      <c r="C129" s="383"/>
      <c r="D129" s="368"/>
      <c r="E129" s="368"/>
      <c r="F129" s="368"/>
      <c r="G129" s="109" t="s">
        <v>157</v>
      </c>
      <c r="H129" s="59" t="s">
        <v>55</v>
      </c>
      <c r="I129" s="25"/>
      <c r="J129" s="59" t="s">
        <v>129</v>
      </c>
      <c r="K129" s="35">
        <f>L129+O129</f>
        <v>1</v>
      </c>
      <c r="L129" s="117">
        <f t="shared" si="103"/>
        <v>0</v>
      </c>
      <c r="M129" s="25"/>
      <c r="N129" s="25"/>
      <c r="O129" s="117">
        <f t="shared" si="104"/>
        <v>1</v>
      </c>
      <c r="P129" s="25">
        <v>2</v>
      </c>
      <c r="Q129" s="25"/>
      <c r="R129" s="49"/>
      <c r="S129" s="49"/>
      <c r="T129" s="25"/>
      <c r="U129" s="363"/>
      <c r="V129" s="77">
        <v>14</v>
      </c>
      <c r="W129" s="49"/>
      <c r="X129" s="2">
        <f t="shared" ref="X129" si="105">IF(ISNUMBER(SEARCH("Aut",H129)),K129, 0)</f>
        <v>1</v>
      </c>
      <c r="Y129" s="2">
        <f t="shared" ref="Y129" si="106">IF(ISNUMBER(SEARCH("Tst",H129)),K129, 0)</f>
        <v>0</v>
      </c>
      <c r="Z129" s="2">
        <f t="shared" ref="Z129" si="107">IF(ISNUMBER(SEARCH("Calc",H129)),K129, 0)</f>
        <v>0</v>
      </c>
      <c r="AD129" s="262"/>
      <c r="AE129" s="262"/>
      <c r="AF129" s="262"/>
    </row>
    <row r="130" spans="1:32" ht="25.5" customHeight="1">
      <c r="A130" s="368"/>
      <c r="B130" s="368"/>
      <c r="C130" s="383"/>
      <c r="D130" s="368"/>
      <c r="E130" s="368"/>
      <c r="F130" s="368"/>
      <c r="G130" s="109" t="s">
        <v>250</v>
      </c>
      <c r="H130" s="59" t="s">
        <v>61</v>
      </c>
      <c r="I130" s="25"/>
      <c r="J130" s="59" t="s">
        <v>126</v>
      </c>
      <c r="K130" s="35">
        <f t="shared" si="102"/>
        <v>2</v>
      </c>
      <c r="L130" s="117">
        <f t="shared" si="103"/>
        <v>0</v>
      </c>
      <c r="M130" s="25"/>
      <c r="N130" s="25"/>
      <c r="O130" s="117">
        <f t="shared" si="104"/>
        <v>2</v>
      </c>
      <c r="P130" s="25">
        <v>4</v>
      </c>
      <c r="Q130" s="25"/>
      <c r="R130" s="25"/>
      <c r="S130" s="25"/>
      <c r="T130" s="25"/>
      <c r="U130" s="363"/>
      <c r="V130" s="77">
        <v>14</v>
      </c>
      <c r="W130" s="49"/>
      <c r="X130" s="2">
        <f t="shared" si="69"/>
        <v>0</v>
      </c>
      <c r="Y130" s="2">
        <f t="shared" si="70"/>
        <v>0</v>
      </c>
      <c r="Z130" s="2">
        <f t="shared" si="71"/>
        <v>2</v>
      </c>
      <c r="AD130" s="262"/>
      <c r="AE130" s="262"/>
      <c r="AF130" s="262"/>
    </row>
    <row r="131" spans="1:32" ht="13.5" customHeight="1" thickBot="1">
      <c r="A131" s="368"/>
      <c r="B131" s="368"/>
      <c r="C131" s="383"/>
      <c r="D131" s="368"/>
      <c r="E131" s="368"/>
      <c r="F131" s="368"/>
      <c r="G131" s="109" t="s">
        <v>54</v>
      </c>
      <c r="H131" s="59" t="s">
        <v>55</v>
      </c>
      <c r="I131" s="25"/>
      <c r="J131" s="59" t="s">
        <v>126</v>
      </c>
      <c r="K131" s="35">
        <f t="shared" si="102"/>
        <v>2</v>
      </c>
      <c r="L131" s="117">
        <f t="shared" si="103"/>
        <v>0</v>
      </c>
      <c r="M131" s="25"/>
      <c r="N131" s="25"/>
      <c r="O131" s="117">
        <f t="shared" si="104"/>
        <v>2</v>
      </c>
      <c r="P131" s="25"/>
      <c r="Q131" s="25">
        <v>4</v>
      </c>
      <c r="R131" s="49"/>
      <c r="S131" s="49"/>
      <c r="T131" s="25"/>
      <c r="U131" s="363"/>
      <c r="V131" s="77">
        <v>14</v>
      </c>
      <c r="W131" s="49"/>
      <c r="X131" s="2">
        <f t="shared" si="69"/>
        <v>2</v>
      </c>
      <c r="Y131" s="2">
        <f t="shared" si="70"/>
        <v>0</v>
      </c>
      <c r="Z131" s="2">
        <f t="shared" si="71"/>
        <v>0</v>
      </c>
      <c r="AD131" s="262"/>
      <c r="AE131" s="262"/>
      <c r="AF131" s="262"/>
    </row>
    <row r="132" spans="1:32" ht="12.75" customHeight="1">
      <c r="A132" s="367">
        <v>13</v>
      </c>
      <c r="B132" s="367" t="s">
        <v>155</v>
      </c>
      <c r="C132" s="387"/>
      <c r="D132" s="367" t="s">
        <v>155</v>
      </c>
      <c r="E132" s="367" t="s">
        <v>280</v>
      </c>
      <c r="F132" s="367" t="s">
        <v>15</v>
      </c>
      <c r="G132" s="376"/>
      <c r="H132" s="376"/>
      <c r="I132" s="375"/>
      <c r="J132" s="127">
        <v>16</v>
      </c>
      <c r="K132" s="131">
        <f t="shared" ref="K132:Q132" si="108">SUM(K134:K141)</f>
        <v>12</v>
      </c>
      <c r="L132" s="364">
        <f t="shared" si="108"/>
        <v>4</v>
      </c>
      <c r="M132" s="364">
        <f t="shared" si="108"/>
        <v>2</v>
      </c>
      <c r="N132" s="364">
        <f t="shared" si="108"/>
        <v>2</v>
      </c>
      <c r="O132" s="364">
        <f t="shared" si="108"/>
        <v>8</v>
      </c>
      <c r="P132" s="364">
        <f t="shared" si="108"/>
        <v>7</v>
      </c>
      <c r="Q132" s="365">
        <f t="shared" si="108"/>
        <v>9</v>
      </c>
      <c r="R132" s="128">
        <f>J132-K132</f>
        <v>4</v>
      </c>
      <c r="S132" s="233">
        <f>S133/28</f>
        <v>5</v>
      </c>
      <c r="T132" s="233"/>
      <c r="U132" s="362"/>
      <c r="V132" s="209"/>
      <c r="W132" s="106"/>
      <c r="X132" s="2">
        <f t="shared" si="69"/>
        <v>0</v>
      </c>
      <c r="Y132" s="2">
        <f t="shared" si="70"/>
        <v>0</v>
      </c>
      <c r="Z132" s="2">
        <f t="shared" si="71"/>
        <v>0</v>
      </c>
      <c r="AA132" s="2">
        <f>SUM(X132:X141)</f>
        <v>8</v>
      </c>
      <c r="AB132" s="2">
        <f>SUM(Y132:Y141)</f>
        <v>3.5</v>
      </c>
      <c r="AC132" s="2">
        <f>SUM(Z132:Z141)</f>
        <v>6</v>
      </c>
      <c r="AD132" s="270">
        <f t="shared" ref="AD132" si="109">AA132/11</f>
        <v>0.72727272727272729</v>
      </c>
      <c r="AE132" s="270">
        <f t="shared" ref="AE132" si="110">AB132/11</f>
        <v>0.31818181818181818</v>
      </c>
      <c r="AF132" s="270">
        <f t="shared" ref="AF132" si="111">AC132/11</f>
        <v>0.54545454545454541</v>
      </c>
    </row>
    <row r="133" spans="1:32" ht="13.5" customHeight="1" thickBot="1">
      <c r="A133" s="368"/>
      <c r="B133" s="368"/>
      <c r="C133" s="383"/>
      <c r="D133" s="368"/>
      <c r="E133" s="368"/>
      <c r="F133" s="368"/>
      <c r="G133" s="370"/>
      <c r="H133" s="371"/>
      <c r="I133" s="373"/>
      <c r="J133" s="129">
        <v>448</v>
      </c>
      <c r="K133" s="132">
        <f>K132*28</f>
        <v>336</v>
      </c>
      <c r="L133" s="361"/>
      <c r="M133" s="361"/>
      <c r="N133" s="361"/>
      <c r="O133" s="361"/>
      <c r="P133" s="361"/>
      <c r="Q133" s="366"/>
      <c r="R133" s="126">
        <f>J133-K133</f>
        <v>112</v>
      </c>
      <c r="S133" s="108">
        <f>SUM(S134:S141)</f>
        <v>140</v>
      </c>
      <c r="T133" s="16"/>
      <c r="U133" s="363"/>
      <c r="V133" s="77"/>
      <c r="W133" s="49"/>
      <c r="X133" s="2">
        <f t="shared" si="69"/>
        <v>0</v>
      </c>
      <c r="Y133" s="2">
        <f t="shared" si="70"/>
        <v>0</v>
      </c>
      <c r="Z133" s="2">
        <f t="shared" si="71"/>
        <v>0</v>
      </c>
      <c r="AD133" s="262"/>
      <c r="AE133" s="262"/>
      <c r="AF133" s="262"/>
    </row>
    <row r="134" spans="1:32" ht="25.5">
      <c r="A134" s="368"/>
      <c r="B134" s="368"/>
      <c r="C134" s="383"/>
      <c r="D134" s="368"/>
      <c r="E134" s="368"/>
      <c r="F134" s="368"/>
      <c r="G134" s="303" t="s">
        <v>158</v>
      </c>
      <c r="H134" s="130" t="s">
        <v>159</v>
      </c>
      <c r="I134" s="25"/>
      <c r="J134" s="130" t="s">
        <v>50</v>
      </c>
      <c r="K134" s="117">
        <f t="shared" ref="K134:K141" si="112">L134+O134</f>
        <v>2</v>
      </c>
      <c r="L134" s="117">
        <f t="shared" ref="L134:L141" si="113">IF(I134="m",(M134+N134)*2.5*V134/28,(M134+N134)*2*V134/28)</f>
        <v>2</v>
      </c>
      <c r="M134" s="116"/>
      <c r="N134" s="116">
        <v>2</v>
      </c>
      <c r="O134" s="117">
        <f t="shared" ref="O134:O141" si="114">IF(I134="m",(P134+Q134)*1.5*V134/28,(P134+Q134)*1*V134/28)</f>
        <v>0</v>
      </c>
      <c r="P134" s="116"/>
      <c r="Q134" s="116"/>
      <c r="R134" s="25" t="s">
        <v>38</v>
      </c>
      <c r="S134" s="25">
        <v>70</v>
      </c>
      <c r="T134" s="25"/>
      <c r="U134" s="363"/>
      <c r="V134" s="77">
        <v>14</v>
      </c>
      <c r="W134" s="49"/>
      <c r="X134" s="2">
        <f t="shared" si="69"/>
        <v>2</v>
      </c>
      <c r="Y134" s="2">
        <f t="shared" si="70"/>
        <v>0</v>
      </c>
      <c r="Z134" s="2">
        <f t="shared" si="71"/>
        <v>2</v>
      </c>
      <c r="AD134" s="262"/>
      <c r="AE134" s="262"/>
      <c r="AF134" s="262"/>
    </row>
    <row r="135" spans="1:32" ht="25.5">
      <c r="A135" s="368"/>
      <c r="B135" s="368"/>
      <c r="C135" s="383"/>
      <c r="D135" s="368"/>
      <c r="E135" s="368"/>
      <c r="F135" s="368"/>
      <c r="G135" s="109" t="s">
        <v>160</v>
      </c>
      <c r="H135" s="59" t="s">
        <v>133</v>
      </c>
      <c r="I135" s="25"/>
      <c r="J135" s="59" t="s">
        <v>215</v>
      </c>
      <c r="K135" s="35">
        <f t="shared" si="112"/>
        <v>2</v>
      </c>
      <c r="L135" s="117">
        <f t="shared" si="113"/>
        <v>2</v>
      </c>
      <c r="M135" s="25">
        <v>2</v>
      </c>
      <c r="N135" s="25"/>
      <c r="O135" s="117">
        <f t="shared" si="114"/>
        <v>0</v>
      </c>
      <c r="P135" s="25"/>
      <c r="Q135" s="25"/>
      <c r="R135" s="25" t="s">
        <v>41</v>
      </c>
      <c r="S135" s="25">
        <v>60</v>
      </c>
      <c r="T135" s="25"/>
      <c r="U135" s="363"/>
      <c r="V135" s="77">
        <v>14</v>
      </c>
      <c r="W135" s="49"/>
      <c r="X135" s="2">
        <f t="shared" si="69"/>
        <v>2</v>
      </c>
      <c r="Y135" s="2">
        <f t="shared" si="70"/>
        <v>2</v>
      </c>
      <c r="Z135" s="2">
        <f t="shared" si="71"/>
        <v>2</v>
      </c>
      <c r="AD135" s="262"/>
      <c r="AE135" s="262"/>
      <c r="AF135" s="262"/>
    </row>
    <row r="136" spans="1:32" ht="12.75" customHeight="1">
      <c r="A136" s="368"/>
      <c r="B136" s="368"/>
      <c r="C136" s="383"/>
      <c r="D136" s="368"/>
      <c r="E136" s="368"/>
      <c r="F136" s="368"/>
      <c r="G136" s="109" t="s">
        <v>51</v>
      </c>
      <c r="H136" s="59" t="s">
        <v>55</v>
      </c>
      <c r="I136" s="25"/>
      <c r="J136" s="59" t="s">
        <v>126</v>
      </c>
      <c r="K136" s="35">
        <f t="shared" si="112"/>
        <v>2</v>
      </c>
      <c r="L136" s="117">
        <f t="shared" si="113"/>
        <v>0</v>
      </c>
      <c r="M136" s="25"/>
      <c r="N136" s="25"/>
      <c r="O136" s="117">
        <f t="shared" si="114"/>
        <v>2</v>
      </c>
      <c r="P136" s="25"/>
      <c r="Q136" s="25">
        <v>4</v>
      </c>
      <c r="R136" s="25" t="s">
        <v>236</v>
      </c>
      <c r="S136" s="25">
        <v>10</v>
      </c>
      <c r="T136" s="25"/>
      <c r="U136" s="363"/>
      <c r="V136" s="77">
        <v>14</v>
      </c>
      <c r="W136" s="49"/>
      <c r="X136" s="2">
        <f t="shared" si="69"/>
        <v>2</v>
      </c>
      <c r="Y136" s="2">
        <f t="shared" si="70"/>
        <v>0</v>
      </c>
      <c r="Z136" s="2">
        <f t="shared" si="71"/>
        <v>0</v>
      </c>
      <c r="AD136" s="262"/>
      <c r="AE136" s="262"/>
      <c r="AF136" s="262"/>
    </row>
    <row r="137" spans="1:32" ht="12.75" customHeight="1">
      <c r="A137" s="368"/>
      <c r="B137" s="368"/>
      <c r="C137" s="383"/>
      <c r="D137" s="368"/>
      <c r="E137" s="368"/>
      <c r="F137" s="368"/>
      <c r="G137" s="109" t="s">
        <v>51</v>
      </c>
      <c r="H137" s="59" t="s">
        <v>61</v>
      </c>
      <c r="I137" s="25"/>
      <c r="J137" s="59" t="s">
        <v>126</v>
      </c>
      <c r="K137" s="35">
        <f t="shared" si="112"/>
        <v>2</v>
      </c>
      <c r="L137" s="117">
        <f t="shared" si="113"/>
        <v>0</v>
      </c>
      <c r="M137" s="25"/>
      <c r="N137" s="25"/>
      <c r="O137" s="117">
        <f t="shared" si="114"/>
        <v>2</v>
      </c>
      <c r="P137" s="25"/>
      <c r="Q137" s="25">
        <v>4</v>
      </c>
      <c r="S137" s="25"/>
      <c r="T137" s="25"/>
      <c r="U137" s="363"/>
      <c r="V137" s="77">
        <v>14</v>
      </c>
      <c r="W137" s="49"/>
      <c r="X137" s="2">
        <f t="shared" si="69"/>
        <v>0</v>
      </c>
      <c r="Y137" s="2">
        <f t="shared" si="70"/>
        <v>0</v>
      </c>
      <c r="Z137" s="2">
        <f t="shared" si="71"/>
        <v>2</v>
      </c>
      <c r="AD137" s="262"/>
      <c r="AE137" s="262"/>
      <c r="AF137" s="262"/>
    </row>
    <row r="138" spans="1:32" ht="12.75" customHeight="1">
      <c r="A138" s="368"/>
      <c r="B138" s="368"/>
      <c r="C138" s="383"/>
      <c r="D138" s="368"/>
      <c r="E138" s="368"/>
      <c r="F138" s="368"/>
      <c r="G138" s="257" t="s">
        <v>225</v>
      </c>
      <c r="H138" s="59" t="s">
        <v>49</v>
      </c>
      <c r="I138" s="25"/>
      <c r="J138" s="59" t="s">
        <v>129</v>
      </c>
      <c r="K138" s="35">
        <f>L138+O138</f>
        <v>0.5</v>
      </c>
      <c r="L138" s="117">
        <f t="shared" si="113"/>
        <v>0</v>
      </c>
      <c r="M138" s="59"/>
      <c r="N138" s="59"/>
      <c r="O138" s="117">
        <f t="shared" si="114"/>
        <v>0.5</v>
      </c>
      <c r="P138" s="59">
        <v>1</v>
      </c>
      <c r="Q138" s="59"/>
      <c r="S138" s="25"/>
      <c r="T138" s="25"/>
      <c r="U138" s="363"/>
      <c r="V138" s="77">
        <v>14</v>
      </c>
      <c r="W138" s="49"/>
      <c r="X138" s="2">
        <f t="shared" ref="X138:X139" si="115">IF(ISNUMBER(SEARCH("Aut",H138)),K138, 0)</f>
        <v>0</v>
      </c>
      <c r="Y138" s="2">
        <f t="shared" ref="Y138:Y139" si="116">IF(ISNUMBER(SEARCH("Tst",H138)),K138, 0)</f>
        <v>0.5</v>
      </c>
      <c r="Z138" s="2">
        <f t="shared" ref="Z138:Z139" si="117">IF(ISNUMBER(SEARCH("Calc",H138)),K138, 0)</f>
        <v>0</v>
      </c>
      <c r="AD138" s="262"/>
      <c r="AE138" s="262"/>
      <c r="AF138" s="262"/>
    </row>
    <row r="139" spans="1:32" ht="12.75" customHeight="1">
      <c r="A139" s="368"/>
      <c r="B139" s="368"/>
      <c r="C139" s="383"/>
      <c r="D139" s="368"/>
      <c r="E139" s="368"/>
      <c r="F139" s="368"/>
      <c r="G139" s="257" t="s">
        <v>51</v>
      </c>
      <c r="H139" s="59" t="s">
        <v>138</v>
      </c>
      <c r="I139" s="25"/>
      <c r="J139" s="59" t="s">
        <v>147</v>
      </c>
      <c r="K139" s="35">
        <f>L139+O139</f>
        <v>0.5</v>
      </c>
      <c r="L139" s="117">
        <f t="shared" si="113"/>
        <v>0</v>
      </c>
      <c r="M139" s="25"/>
      <c r="N139" s="25"/>
      <c r="O139" s="117">
        <f t="shared" si="114"/>
        <v>0.5</v>
      </c>
      <c r="P139" s="25"/>
      <c r="Q139" s="59">
        <v>1</v>
      </c>
      <c r="S139" s="25"/>
      <c r="T139" s="25"/>
      <c r="U139" s="363"/>
      <c r="V139" s="77">
        <v>14</v>
      </c>
      <c r="W139" s="49"/>
      <c r="X139" s="2">
        <f t="shared" si="115"/>
        <v>0</v>
      </c>
      <c r="Y139" s="2">
        <f t="shared" si="116"/>
        <v>0</v>
      </c>
      <c r="Z139" s="2">
        <f t="shared" si="117"/>
        <v>0</v>
      </c>
      <c r="AD139" s="262"/>
      <c r="AE139" s="262"/>
      <c r="AF139" s="262"/>
    </row>
    <row r="140" spans="1:32" ht="12.75" customHeight="1">
      <c r="A140" s="368"/>
      <c r="B140" s="368"/>
      <c r="C140" s="383"/>
      <c r="D140" s="368"/>
      <c r="E140" s="368"/>
      <c r="F140" s="368"/>
      <c r="G140" s="109" t="s">
        <v>160</v>
      </c>
      <c r="H140" s="59" t="s">
        <v>55</v>
      </c>
      <c r="I140" s="25"/>
      <c r="J140" s="59" t="s">
        <v>127</v>
      </c>
      <c r="K140" s="35">
        <f t="shared" si="112"/>
        <v>2</v>
      </c>
      <c r="L140" s="117">
        <f t="shared" si="113"/>
        <v>0</v>
      </c>
      <c r="M140" s="25"/>
      <c r="N140" s="25"/>
      <c r="O140" s="117">
        <f t="shared" si="114"/>
        <v>2</v>
      </c>
      <c r="P140" s="25">
        <v>4</v>
      </c>
      <c r="Q140" s="25"/>
      <c r="R140" s="49"/>
      <c r="S140" s="49"/>
      <c r="T140" s="25"/>
      <c r="U140" s="363"/>
      <c r="V140" s="77">
        <v>14</v>
      </c>
      <c r="W140" s="49"/>
      <c r="X140" s="2">
        <f t="shared" si="69"/>
        <v>2</v>
      </c>
      <c r="Y140" s="2">
        <f t="shared" si="70"/>
        <v>0</v>
      </c>
      <c r="Z140" s="2">
        <f t="shared" si="71"/>
        <v>0</v>
      </c>
      <c r="AD140" s="262"/>
      <c r="AE140" s="262"/>
      <c r="AF140" s="262"/>
    </row>
    <row r="141" spans="1:32" ht="12.75" customHeight="1" thickBot="1">
      <c r="A141" s="368"/>
      <c r="B141" s="368"/>
      <c r="C141" s="383"/>
      <c r="D141" s="368"/>
      <c r="E141" s="368"/>
      <c r="F141" s="368"/>
      <c r="G141" s="109" t="s">
        <v>160</v>
      </c>
      <c r="H141" s="59" t="s">
        <v>49</v>
      </c>
      <c r="I141" s="25"/>
      <c r="J141" s="59" t="s">
        <v>129</v>
      </c>
      <c r="K141" s="35">
        <f t="shared" si="112"/>
        <v>1</v>
      </c>
      <c r="L141" s="117">
        <f t="shared" si="113"/>
        <v>0</v>
      </c>
      <c r="M141" s="25"/>
      <c r="N141" s="25"/>
      <c r="O141" s="117">
        <f t="shared" si="114"/>
        <v>1</v>
      </c>
      <c r="P141" s="25">
        <v>2</v>
      </c>
      <c r="Q141" s="25"/>
      <c r="R141" s="25"/>
      <c r="S141" s="25"/>
      <c r="T141" s="25"/>
      <c r="U141" s="363"/>
      <c r="V141" s="77">
        <v>14</v>
      </c>
      <c r="W141" s="49"/>
      <c r="X141" s="2">
        <f t="shared" si="69"/>
        <v>0</v>
      </c>
      <c r="Y141" s="2">
        <f t="shared" si="70"/>
        <v>1</v>
      </c>
      <c r="Z141" s="2">
        <f t="shared" si="71"/>
        <v>0</v>
      </c>
      <c r="AD141" s="262"/>
      <c r="AE141" s="262"/>
      <c r="AF141" s="262"/>
    </row>
    <row r="142" spans="1:32" ht="14.25" customHeight="1">
      <c r="A142" s="367">
        <v>14</v>
      </c>
      <c r="B142" s="367" t="s">
        <v>155</v>
      </c>
      <c r="C142" s="387"/>
      <c r="D142" s="367" t="s">
        <v>155</v>
      </c>
      <c r="E142" s="367" t="s">
        <v>240</v>
      </c>
      <c r="F142" s="367" t="s">
        <v>15</v>
      </c>
      <c r="G142" s="376"/>
      <c r="H142" s="376"/>
      <c r="I142" s="375"/>
      <c r="J142" s="127">
        <v>16</v>
      </c>
      <c r="K142" s="131">
        <f>SUM(K144:K150)</f>
        <v>12</v>
      </c>
      <c r="L142" s="364">
        <f t="shared" ref="L142:Q142" si="118">SUM(L144:L150)</f>
        <v>4</v>
      </c>
      <c r="M142" s="364">
        <f t="shared" si="118"/>
        <v>2</v>
      </c>
      <c r="N142" s="364">
        <f t="shared" si="118"/>
        <v>2</v>
      </c>
      <c r="O142" s="364">
        <f t="shared" si="118"/>
        <v>8</v>
      </c>
      <c r="P142" s="364">
        <f t="shared" si="118"/>
        <v>10</v>
      </c>
      <c r="Q142" s="365">
        <f t="shared" si="118"/>
        <v>6</v>
      </c>
      <c r="R142" s="128">
        <f>J142-K142</f>
        <v>4</v>
      </c>
      <c r="S142" s="233">
        <f>S143/28</f>
        <v>5</v>
      </c>
      <c r="T142" s="233"/>
      <c r="U142" s="362"/>
      <c r="V142" s="209"/>
      <c r="W142" s="106"/>
      <c r="X142" s="2">
        <f t="shared" si="69"/>
        <v>0</v>
      </c>
      <c r="Y142" s="2">
        <f t="shared" si="70"/>
        <v>0</v>
      </c>
      <c r="Z142" s="2">
        <f t="shared" si="71"/>
        <v>0</v>
      </c>
      <c r="AA142" s="2">
        <f>SUM(X142:X150)</f>
        <v>7</v>
      </c>
      <c r="AB142" s="2">
        <f>SUM(Y142:Y150)</f>
        <v>3</v>
      </c>
      <c r="AC142" s="2">
        <f>SUM(Z142:Z150)</f>
        <v>8</v>
      </c>
      <c r="AD142" s="270">
        <f t="shared" ref="AD142" si="119">AA142/11</f>
        <v>0.63636363636363635</v>
      </c>
      <c r="AE142" s="270">
        <f t="shared" ref="AE142" si="120">AB142/11</f>
        <v>0.27272727272727271</v>
      </c>
      <c r="AF142" s="270">
        <f t="shared" ref="AF142" si="121">AC142/11</f>
        <v>0.72727272727272729</v>
      </c>
    </row>
    <row r="143" spans="1:32" ht="14.25" customHeight="1" thickBot="1">
      <c r="A143" s="368"/>
      <c r="B143" s="368"/>
      <c r="C143" s="383"/>
      <c r="D143" s="368"/>
      <c r="E143" s="368"/>
      <c r="F143" s="368"/>
      <c r="G143" s="370"/>
      <c r="H143" s="371"/>
      <c r="I143" s="373"/>
      <c r="J143" s="129">
        <v>448</v>
      </c>
      <c r="K143" s="132">
        <f>K142*28</f>
        <v>336</v>
      </c>
      <c r="L143" s="361"/>
      <c r="M143" s="361"/>
      <c r="N143" s="361"/>
      <c r="O143" s="361"/>
      <c r="P143" s="361"/>
      <c r="Q143" s="366"/>
      <c r="R143" s="126">
        <f>J143-K143</f>
        <v>112</v>
      </c>
      <c r="S143" s="108">
        <f>SUM(S144:S150)</f>
        <v>140</v>
      </c>
      <c r="T143" s="16"/>
      <c r="U143" s="363"/>
      <c r="V143" s="77"/>
      <c r="W143" s="49"/>
      <c r="X143" s="2">
        <f t="shared" si="69"/>
        <v>0</v>
      </c>
      <c r="Y143" s="2">
        <f t="shared" si="70"/>
        <v>0</v>
      </c>
      <c r="Z143" s="2">
        <f t="shared" si="71"/>
        <v>0</v>
      </c>
      <c r="AD143" s="262"/>
      <c r="AE143" s="262"/>
      <c r="AF143" s="262"/>
    </row>
    <row r="144" spans="1:32" ht="12.75" customHeight="1">
      <c r="A144" s="368"/>
      <c r="B144" s="368"/>
      <c r="C144" s="383"/>
      <c r="D144" s="368"/>
      <c r="E144" s="368"/>
      <c r="F144" s="368"/>
      <c r="G144" s="109" t="s">
        <v>161</v>
      </c>
      <c r="H144" s="59" t="s">
        <v>162</v>
      </c>
      <c r="I144" s="25"/>
      <c r="J144" s="302" t="s">
        <v>215</v>
      </c>
      <c r="K144" s="117">
        <f t="shared" ref="K144:K150" si="122">L144+O144</f>
        <v>2</v>
      </c>
      <c r="L144" s="117">
        <f t="shared" ref="L144:L150" si="123">IF(I144="m",(M144+N144)*2.5*V144/28,(M144+N144)*2*V144/28)</f>
        <v>2</v>
      </c>
      <c r="M144" s="116"/>
      <c r="N144" s="116">
        <v>2</v>
      </c>
      <c r="O144" s="117">
        <f t="shared" ref="O144:O150" si="124">IF(I144="m",(P144+Q144)*1.5*V144/28,(P144+Q144)*1*V144/28)</f>
        <v>0</v>
      </c>
      <c r="P144" s="116"/>
      <c r="Q144" s="116"/>
      <c r="R144" s="25" t="s">
        <v>38</v>
      </c>
      <c r="S144" s="25">
        <v>75</v>
      </c>
      <c r="T144" s="25"/>
      <c r="U144" s="363"/>
      <c r="V144" s="77">
        <v>14</v>
      </c>
      <c r="W144" s="49"/>
      <c r="X144" s="2">
        <f t="shared" si="69"/>
        <v>2</v>
      </c>
      <c r="Y144" s="2">
        <f t="shared" si="70"/>
        <v>0</v>
      </c>
      <c r="Z144" s="2">
        <f t="shared" si="71"/>
        <v>2</v>
      </c>
      <c r="AD144" s="262"/>
      <c r="AE144" s="262"/>
      <c r="AF144" s="262"/>
    </row>
    <row r="145" spans="1:32" ht="12.75" customHeight="1">
      <c r="A145" s="368"/>
      <c r="B145" s="368"/>
      <c r="C145" s="383"/>
      <c r="D145" s="368"/>
      <c r="E145" s="368"/>
      <c r="F145" s="368"/>
      <c r="G145" s="109" t="s">
        <v>163</v>
      </c>
      <c r="H145" s="59" t="s">
        <v>164</v>
      </c>
      <c r="I145" s="25"/>
      <c r="J145" s="59" t="s">
        <v>216</v>
      </c>
      <c r="K145" s="35">
        <f t="shared" si="122"/>
        <v>2</v>
      </c>
      <c r="L145" s="117">
        <f t="shared" si="123"/>
        <v>2</v>
      </c>
      <c r="M145" s="25">
        <v>2</v>
      </c>
      <c r="N145" s="25"/>
      <c r="O145" s="117">
        <f t="shared" si="124"/>
        <v>0</v>
      </c>
      <c r="P145" s="25"/>
      <c r="Q145" s="25"/>
      <c r="R145" s="25" t="s">
        <v>39</v>
      </c>
      <c r="S145" s="25">
        <v>20</v>
      </c>
      <c r="T145" s="25"/>
      <c r="U145" s="363"/>
      <c r="V145" s="77">
        <v>14</v>
      </c>
      <c r="W145" s="49"/>
      <c r="X145" s="2">
        <f t="shared" si="69"/>
        <v>2</v>
      </c>
      <c r="Y145" s="2">
        <f t="shared" si="70"/>
        <v>2</v>
      </c>
      <c r="Z145" s="2">
        <f t="shared" si="71"/>
        <v>2</v>
      </c>
      <c r="AD145" s="262"/>
      <c r="AE145" s="262"/>
      <c r="AF145" s="262"/>
    </row>
    <row r="146" spans="1:32" ht="12.75" customHeight="1">
      <c r="A146" s="368"/>
      <c r="B146" s="368"/>
      <c r="C146" s="383"/>
      <c r="D146" s="368"/>
      <c r="E146" s="368"/>
      <c r="F146" s="368"/>
      <c r="G146" s="109" t="s">
        <v>163</v>
      </c>
      <c r="H146" s="59" t="s">
        <v>55</v>
      </c>
      <c r="I146" s="25"/>
      <c r="J146" s="59" t="s">
        <v>126</v>
      </c>
      <c r="K146" s="35">
        <f t="shared" si="122"/>
        <v>2</v>
      </c>
      <c r="L146" s="117">
        <f t="shared" si="123"/>
        <v>0</v>
      </c>
      <c r="M146" s="25"/>
      <c r="N146" s="25"/>
      <c r="O146" s="117">
        <f t="shared" si="124"/>
        <v>2</v>
      </c>
      <c r="P146" s="25">
        <v>4</v>
      </c>
      <c r="Q146" s="25"/>
      <c r="R146" s="25" t="s">
        <v>234</v>
      </c>
      <c r="S146" s="25">
        <v>45</v>
      </c>
      <c r="T146" s="25"/>
      <c r="U146" s="363"/>
      <c r="V146" s="77">
        <v>14</v>
      </c>
      <c r="W146" s="49"/>
      <c r="X146" s="2">
        <f t="shared" si="69"/>
        <v>2</v>
      </c>
      <c r="Y146" s="2">
        <f t="shared" si="70"/>
        <v>0</v>
      </c>
      <c r="Z146" s="2">
        <f t="shared" si="71"/>
        <v>0</v>
      </c>
      <c r="AD146" s="262"/>
      <c r="AE146" s="262"/>
      <c r="AF146" s="262"/>
    </row>
    <row r="147" spans="1:32" ht="12.75" customHeight="1">
      <c r="A147" s="368"/>
      <c r="B147" s="368"/>
      <c r="C147" s="383"/>
      <c r="D147" s="368"/>
      <c r="E147" s="368"/>
      <c r="F147" s="368"/>
      <c r="G147" s="257" t="s">
        <v>163</v>
      </c>
      <c r="H147" s="124" t="s">
        <v>49</v>
      </c>
      <c r="I147" s="25"/>
      <c r="J147" s="124" t="s">
        <v>147</v>
      </c>
      <c r="K147" s="35">
        <f>L147+O147</f>
        <v>1</v>
      </c>
      <c r="L147" s="117">
        <f t="shared" si="123"/>
        <v>0</v>
      </c>
      <c r="M147" s="25"/>
      <c r="N147" s="25"/>
      <c r="O147" s="117">
        <f t="shared" si="124"/>
        <v>1</v>
      </c>
      <c r="P147" s="123">
        <v>2</v>
      </c>
      <c r="Q147" s="25"/>
      <c r="R147" s="212"/>
      <c r="S147" s="25"/>
      <c r="T147" s="25"/>
      <c r="U147" s="363"/>
      <c r="V147" s="77">
        <v>14</v>
      </c>
      <c r="W147" s="49"/>
      <c r="X147" s="2">
        <f t="shared" ref="X147" si="125">IF(ISNUMBER(SEARCH("Aut",H147)),K147, 0)</f>
        <v>0</v>
      </c>
      <c r="Y147" s="2">
        <f t="shared" ref="Y147" si="126">IF(ISNUMBER(SEARCH("Tst",H147)),K147, 0)</f>
        <v>1</v>
      </c>
      <c r="Z147" s="2">
        <f t="shared" ref="Z147" si="127">IF(ISNUMBER(SEARCH("Calc",H147)),K147, 0)</f>
        <v>0</v>
      </c>
      <c r="AD147" s="262"/>
      <c r="AE147" s="262"/>
      <c r="AF147" s="262"/>
    </row>
    <row r="148" spans="1:32" ht="12.75" customHeight="1">
      <c r="A148" s="368"/>
      <c r="B148" s="368"/>
      <c r="C148" s="383"/>
      <c r="D148" s="368"/>
      <c r="E148" s="368"/>
      <c r="F148" s="368"/>
      <c r="G148" s="109" t="s">
        <v>161</v>
      </c>
      <c r="H148" s="59" t="s">
        <v>61</v>
      </c>
      <c r="I148" s="25"/>
      <c r="J148" s="59" t="s">
        <v>127</v>
      </c>
      <c r="K148" s="35">
        <f t="shared" si="122"/>
        <v>2</v>
      </c>
      <c r="L148" s="117">
        <f t="shared" si="123"/>
        <v>0</v>
      </c>
      <c r="M148" s="25"/>
      <c r="N148" s="25"/>
      <c r="O148" s="117">
        <f t="shared" si="124"/>
        <v>2</v>
      </c>
      <c r="P148" s="25"/>
      <c r="Q148" s="25">
        <v>4</v>
      </c>
      <c r="S148" s="25"/>
      <c r="T148" s="25"/>
      <c r="U148" s="363"/>
      <c r="V148" s="77">
        <v>14</v>
      </c>
      <c r="W148" s="49"/>
      <c r="X148" s="2">
        <f t="shared" si="69"/>
        <v>0</v>
      </c>
      <c r="Y148" s="2">
        <f t="shared" si="70"/>
        <v>0</v>
      </c>
      <c r="Z148" s="2">
        <f t="shared" si="71"/>
        <v>2</v>
      </c>
      <c r="AD148" s="262"/>
      <c r="AE148" s="262"/>
      <c r="AF148" s="262"/>
    </row>
    <row r="149" spans="1:32" ht="12.75" customHeight="1">
      <c r="A149" s="368"/>
      <c r="B149" s="368"/>
      <c r="C149" s="383"/>
      <c r="D149" s="368"/>
      <c r="E149" s="368"/>
      <c r="F149" s="368"/>
      <c r="G149" s="109" t="s">
        <v>163</v>
      </c>
      <c r="H149" s="59" t="s">
        <v>61</v>
      </c>
      <c r="I149" s="25"/>
      <c r="J149" s="59" t="s">
        <v>126</v>
      </c>
      <c r="K149" s="35">
        <f t="shared" si="122"/>
        <v>2</v>
      </c>
      <c r="L149" s="117">
        <f t="shared" si="123"/>
        <v>0</v>
      </c>
      <c r="M149" s="25"/>
      <c r="N149" s="25"/>
      <c r="O149" s="117">
        <f t="shared" si="124"/>
        <v>2</v>
      </c>
      <c r="P149" s="25">
        <v>4</v>
      </c>
      <c r="Q149" s="25"/>
      <c r="R149" s="49"/>
      <c r="S149" s="49"/>
      <c r="T149" s="25"/>
      <c r="U149" s="363"/>
      <c r="V149" s="77">
        <v>14</v>
      </c>
      <c r="W149" s="49"/>
      <c r="X149" s="2">
        <f t="shared" si="69"/>
        <v>0</v>
      </c>
      <c r="Y149" s="2">
        <f t="shared" si="70"/>
        <v>0</v>
      </c>
      <c r="Z149" s="2">
        <f t="shared" si="71"/>
        <v>2</v>
      </c>
      <c r="AD149" s="262"/>
      <c r="AE149" s="262"/>
      <c r="AF149" s="262"/>
    </row>
    <row r="150" spans="1:32" ht="12.75" customHeight="1" thickBot="1">
      <c r="A150" s="368"/>
      <c r="B150" s="368"/>
      <c r="C150" s="383"/>
      <c r="D150" s="368"/>
      <c r="E150" s="368"/>
      <c r="F150" s="368"/>
      <c r="G150" s="109" t="s">
        <v>161</v>
      </c>
      <c r="H150" s="59" t="s">
        <v>55</v>
      </c>
      <c r="I150" s="25"/>
      <c r="J150" s="59" t="s">
        <v>129</v>
      </c>
      <c r="K150" s="35">
        <f t="shared" si="122"/>
        <v>1</v>
      </c>
      <c r="L150" s="117">
        <f t="shared" si="123"/>
        <v>0</v>
      </c>
      <c r="M150" s="25"/>
      <c r="N150" s="25"/>
      <c r="O150" s="117">
        <f t="shared" si="124"/>
        <v>1</v>
      </c>
      <c r="P150" s="25"/>
      <c r="Q150" s="25">
        <v>2</v>
      </c>
      <c r="R150" s="25"/>
      <c r="S150" s="25"/>
      <c r="T150" s="25"/>
      <c r="U150" s="363"/>
      <c r="V150" s="77">
        <v>14</v>
      </c>
      <c r="W150" s="49"/>
      <c r="X150" s="2">
        <f t="shared" si="69"/>
        <v>1</v>
      </c>
      <c r="Y150" s="2">
        <f t="shared" si="70"/>
        <v>0</v>
      </c>
      <c r="Z150" s="2">
        <f t="shared" si="71"/>
        <v>0</v>
      </c>
      <c r="AD150" s="262"/>
      <c r="AE150" s="262"/>
      <c r="AF150" s="262"/>
    </row>
    <row r="151" spans="1:32" ht="12.75" customHeight="1">
      <c r="A151" s="367">
        <v>15</v>
      </c>
      <c r="B151" s="367" t="s">
        <v>155</v>
      </c>
      <c r="C151" s="387"/>
      <c r="D151" s="367" t="s">
        <v>155</v>
      </c>
      <c r="E151" s="367" t="s">
        <v>240</v>
      </c>
      <c r="F151" s="367" t="s">
        <v>15</v>
      </c>
      <c r="G151" s="376"/>
      <c r="H151" s="376"/>
      <c r="I151" s="375"/>
      <c r="J151" s="127">
        <v>16</v>
      </c>
      <c r="K151" s="131">
        <f t="shared" ref="K151:Q151" si="128">SUM(K153:K165)</f>
        <v>11.5</v>
      </c>
      <c r="L151" s="364">
        <f t="shared" si="128"/>
        <v>4</v>
      </c>
      <c r="M151" s="364">
        <f t="shared" si="128"/>
        <v>0</v>
      </c>
      <c r="N151" s="364">
        <f t="shared" si="128"/>
        <v>4</v>
      </c>
      <c r="O151" s="364">
        <f t="shared" si="128"/>
        <v>7.5</v>
      </c>
      <c r="P151" s="364">
        <f t="shared" si="128"/>
        <v>6</v>
      </c>
      <c r="Q151" s="365">
        <f t="shared" si="128"/>
        <v>9</v>
      </c>
      <c r="R151" s="128">
        <f>J151-K151</f>
        <v>4.5</v>
      </c>
      <c r="S151" s="233">
        <f>S152/28</f>
        <v>5</v>
      </c>
      <c r="T151" s="233"/>
      <c r="U151" s="362"/>
      <c r="V151" s="209"/>
      <c r="W151" s="106"/>
      <c r="X151" s="2">
        <f t="shared" si="69"/>
        <v>0</v>
      </c>
      <c r="Y151" s="2">
        <f t="shared" si="70"/>
        <v>0</v>
      </c>
      <c r="Z151" s="2">
        <f t="shared" si="71"/>
        <v>0</v>
      </c>
      <c r="AA151" s="2">
        <f>SUM(X151:X165)</f>
        <v>6</v>
      </c>
      <c r="AB151" s="2">
        <f>SUM(Y151:Y165)</f>
        <v>3</v>
      </c>
      <c r="AC151" s="2">
        <f>SUM(Z151:Z165)</f>
        <v>0</v>
      </c>
      <c r="AD151" s="270">
        <f t="shared" ref="AD151" si="129">AA151/11</f>
        <v>0.54545454545454541</v>
      </c>
      <c r="AE151" s="270">
        <f t="shared" ref="AE151" si="130">AB151/11</f>
        <v>0.27272727272727271</v>
      </c>
      <c r="AF151" s="270">
        <f t="shared" ref="AF151" si="131">AC151/11</f>
        <v>0</v>
      </c>
    </row>
    <row r="152" spans="1:32" ht="12.75" customHeight="1" thickBot="1">
      <c r="A152" s="368"/>
      <c r="B152" s="368"/>
      <c r="C152" s="383"/>
      <c r="D152" s="368"/>
      <c r="E152" s="368"/>
      <c r="F152" s="368"/>
      <c r="G152" s="370"/>
      <c r="H152" s="371"/>
      <c r="I152" s="373"/>
      <c r="J152" s="129">
        <v>448</v>
      </c>
      <c r="K152" s="132">
        <f>K151*28</f>
        <v>322</v>
      </c>
      <c r="L152" s="361"/>
      <c r="M152" s="361"/>
      <c r="N152" s="361"/>
      <c r="O152" s="361"/>
      <c r="P152" s="361"/>
      <c r="Q152" s="366"/>
      <c r="R152" s="126">
        <f>J152-K152</f>
        <v>126</v>
      </c>
      <c r="S152" s="108">
        <f>SUM(S153:S160)</f>
        <v>140</v>
      </c>
      <c r="T152" s="16"/>
      <c r="U152" s="363"/>
      <c r="V152" s="77"/>
      <c r="W152" s="49"/>
      <c r="X152" s="2">
        <f t="shared" si="69"/>
        <v>0</v>
      </c>
      <c r="Y152" s="2">
        <f t="shared" si="70"/>
        <v>0</v>
      </c>
      <c r="Z152" s="2">
        <f t="shared" si="71"/>
        <v>0</v>
      </c>
      <c r="AD152" s="262"/>
      <c r="AE152" s="262"/>
      <c r="AF152" s="262"/>
    </row>
    <row r="153" spans="1:32" ht="12.75" customHeight="1">
      <c r="A153" s="368"/>
      <c r="B153" s="368"/>
      <c r="C153" s="383"/>
      <c r="D153" s="368"/>
      <c r="E153" s="368"/>
      <c r="F153" s="368"/>
      <c r="G153" s="285" t="s">
        <v>165</v>
      </c>
      <c r="H153" s="240" t="s">
        <v>166</v>
      </c>
      <c r="I153" s="29"/>
      <c r="J153" s="299" t="s">
        <v>50</v>
      </c>
      <c r="K153" s="287">
        <f>L153+O153</f>
        <v>2</v>
      </c>
      <c r="L153" s="287">
        <f t="shared" ref="L153:L160" si="132">IF(I153="m",(M153+N153)*2.5*V153/28,(M153+N153)*2*V153/28)</f>
        <v>2</v>
      </c>
      <c r="M153" s="288"/>
      <c r="N153" s="288">
        <v>2</v>
      </c>
      <c r="O153" s="287">
        <f t="shared" ref="O153:O165" si="133">IF(I153="m",(P153+Q153)*1.5*V153/28,(P153+Q153)*1*V153/28)</f>
        <v>0</v>
      </c>
      <c r="P153" s="288"/>
      <c r="Q153" s="288"/>
      <c r="R153" s="25" t="s">
        <v>233</v>
      </c>
      <c r="S153" s="25">
        <v>100</v>
      </c>
      <c r="T153" s="25"/>
      <c r="U153" s="363"/>
      <c r="V153" s="77">
        <v>14</v>
      </c>
      <c r="W153" s="49"/>
      <c r="X153" s="2">
        <f t="shared" ref="X153:X226" si="134">IF(ISNUMBER(SEARCH("Aut",H153)),K153, 0)</f>
        <v>2</v>
      </c>
      <c r="Y153" s="2">
        <f t="shared" ref="Y153:Y226" si="135">IF(ISNUMBER(SEARCH("Tst",H153)),K153, 0)</f>
        <v>0</v>
      </c>
      <c r="Z153" s="2">
        <f t="shared" ref="Z153:Z226" si="136">IF(ISNUMBER(SEARCH("Calc",H153)),K153, 0)</f>
        <v>0</v>
      </c>
      <c r="AD153" s="262"/>
      <c r="AE153" s="262"/>
      <c r="AF153" s="262"/>
    </row>
    <row r="154" spans="1:32" ht="12.75" customHeight="1">
      <c r="A154" s="368"/>
      <c r="B154" s="368"/>
      <c r="C154" s="383"/>
      <c r="D154" s="368"/>
      <c r="E154" s="368"/>
      <c r="F154" s="368"/>
      <c r="G154" s="305" t="s">
        <v>219</v>
      </c>
      <c r="H154" s="291" t="s">
        <v>49</v>
      </c>
      <c r="I154" s="29"/>
      <c r="J154" s="291" t="s">
        <v>18</v>
      </c>
      <c r="K154" s="30">
        <f t="shared" ref="K154:K160" si="137">L154+O154</f>
        <v>2</v>
      </c>
      <c r="L154" s="30">
        <f t="shared" si="132"/>
        <v>2</v>
      </c>
      <c r="M154" s="29"/>
      <c r="N154" s="29">
        <v>2</v>
      </c>
      <c r="O154" s="30">
        <f t="shared" si="133"/>
        <v>0</v>
      </c>
      <c r="P154" s="29"/>
      <c r="Q154" s="29"/>
      <c r="R154" s="25" t="s">
        <v>39</v>
      </c>
      <c r="S154" s="25">
        <v>40</v>
      </c>
      <c r="T154" s="25"/>
      <c r="U154" s="363"/>
      <c r="V154" s="77">
        <v>14</v>
      </c>
      <c r="W154" s="49"/>
      <c r="X154" s="2">
        <f t="shared" si="134"/>
        <v>0</v>
      </c>
      <c r="Y154" s="2">
        <f t="shared" si="135"/>
        <v>2</v>
      </c>
      <c r="Z154" s="2">
        <f t="shared" si="136"/>
        <v>0</v>
      </c>
      <c r="AD154" s="262"/>
      <c r="AE154" s="262"/>
      <c r="AF154" s="262"/>
    </row>
    <row r="155" spans="1:32" ht="12.75" customHeight="1">
      <c r="A155" s="368"/>
      <c r="B155" s="368"/>
      <c r="C155" s="383"/>
      <c r="D155" s="368"/>
      <c r="E155" s="368"/>
      <c r="F155" s="368"/>
      <c r="G155" s="285" t="s">
        <v>222</v>
      </c>
      <c r="H155" s="240" t="s">
        <v>55</v>
      </c>
      <c r="I155" s="29"/>
      <c r="J155" s="240" t="s">
        <v>65</v>
      </c>
      <c r="K155" s="30">
        <f t="shared" si="137"/>
        <v>0.5</v>
      </c>
      <c r="L155" s="30">
        <f t="shared" si="132"/>
        <v>0</v>
      </c>
      <c r="M155" s="29"/>
      <c r="N155" s="29"/>
      <c r="O155" s="30">
        <f t="shared" si="133"/>
        <v>0.5</v>
      </c>
      <c r="P155" s="29"/>
      <c r="Q155" s="29">
        <v>1</v>
      </c>
      <c r="S155" s="25"/>
      <c r="T155" s="25"/>
      <c r="U155" s="363"/>
      <c r="V155" s="77">
        <v>14</v>
      </c>
      <c r="W155" s="49"/>
      <c r="X155" s="2">
        <f t="shared" si="134"/>
        <v>0.5</v>
      </c>
      <c r="Y155" s="2">
        <f t="shared" si="135"/>
        <v>0</v>
      </c>
      <c r="Z155" s="2">
        <f t="shared" si="136"/>
        <v>0</v>
      </c>
      <c r="AD155" s="262"/>
      <c r="AE155" s="262"/>
      <c r="AF155" s="262"/>
    </row>
    <row r="156" spans="1:32" ht="12.75" customHeight="1">
      <c r="A156" s="368"/>
      <c r="B156" s="368"/>
      <c r="C156" s="383"/>
      <c r="D156" s="368"/>
      <c r="E156" s="368"/>
      <c r="F156" s="368"/>
      <c r="G156" s="285" t="s">
        <v>165</v>
      </c>
      <c r="H156" s="240" t="s">
        <v>55</v>
      </c>
      <c r="I156" s="29"/>
      <c r="J156" s="240" t="s">
        <v>65</v>
      </c>
      <c r="K156" s="30">
        <f t="shared" si="137"/>
        <v>0.5</v>
      </c>
      <c r="L156" s="30">
        <f t="shared" si="132"/>
        <v>0</v>
      </c>
      <c r="M156" s="29"/>
      <c r="N156" s="29"/>
      <c r="O156" s="30">
        <f t="shared" si="133"/>
        <v>0.5</v>
      </c>
      <c r="P156" s="29"/>
      <c r="Q156" s="29">
        <v>1</v>
      </c>
      <c r="R156" s="25"/>
      <c r="S156" s="25"/>
      <c r="T156" s="25"/>
      <c r="U156" s="363"/>
      <c r="V156" s="77">
        <v>14</v>
      </c>
      <c r="W156" s="49"/>
      <c r="X156" s="2">
        <f t="shared" si="134"/>
        <v>0.5</v>
      </c>
      <c r="Y156" s="2">
        <f t="shared" si="135"/>
        <v>0</v>
      </c>
      <c r="Z156" s="2">
        <f t="shared" si="136"/>
        <v>0</v>
      </c>
      <c r="AD156" s="262"/>
      <c r="AE156" s="262"/>
      <c r="AF156" s="262"/>
    </row>
    <row r="157" spans="1:32" ht="12.75" customHeight="1">
      <c r="A157" s="368"/>
      <c r="B157" s="368"/>
      <c r="C157" s="383"/>
      <c r="D157" s="368"/>
      <c r="E157" s="368"/>
      <c r="F157" s="368"/>
      <c r="G157" s="285" t="s">
        <v>165</v>
      </c>
      <c r="H157" s="240" t="s">
        <v>138</v>
      </c>
      <c r="I157" s="29"/>
      <c r="J157" s="240" t="s">
        <v>130</v>
      </c>
      <c r="K157" s="30">
        <f t="shared" si="137"/>
        <v>1</v>
      </c>
      <c r="L157" s="30">
        <f t="shared" si="132"/>
        <v>0</v>
      </c>
      <c r="M157" s="29"/>
      <c r="N157" s="29"/>
      <c r="O157" s="30">
        <f t="shared" si="133"/>
        <v>1</v>
      </c>
      <c r="P157" s="29"/>
      <c r="Q157" s="29">
        <v>2</v>
      </c>
      <c r="R157" s="49"/>
      <c r="S157" s="49"/>
      <c r="T157" s="25"/>
      <c r="U157" s="363"/>
      <c r="V157" s="77">
        <v>14</v>
      </c>
      <c r="W157" s="49"/>
      <c r="X157" s="2">
        <f t="shared" si="134"/>
        <v>0</v>
      </c>
      <c r="Y157" s="2">
        <f t="shared" si="135"/>
        <v>0</v>
      </c>
      <c r="Z157" s="2">
        <f t="shared" si="136"/>
        <v>0</v>
      </c>
      <c r="AD157" s="262"/>
      <c r="AE157" s="262"/>
      <c r="AF157" s="262"/>
    </row>
    <row r="158" spans="1:32" ht="12.75" customHeight="1">
      <c r="A158" s="368"/>
      <c r="B158" s="368"/>
      <c r="C158" s="383"/>
      <c r="D158" s="368"/>
      <c r="E158" s="368"/>
      <c r="F158" s="368"/>
      <c r="G158" s="285" t="s">
        <v>165</v>
      </c>
      <c r="H158" s="240" t="s">
        <v>146</v>
      </c>
      <c r="I158" s="29"/>
      <c r="J158" s="240" t="s">
        <v>65</v>
      </c>
      <c r="K158" s="30">
        <f t="shared" si="137"/>
        <v>0.5</v>
      </c>
      <c r="L158" s="30">
        <f t="shared" si="132"/>
        <v>0</v>
      </c>
      <c r="M158" s="29"/>
      <c r="N158" s="29"/>
      <c r="O158" s="30">
        <f t="shared" si="133"/>
        <v>0.5</v>
      </c>
      <c r="P158" s="29"/>
      <c r="Q158" s="29">
        <v>1</v>
      </c>
      <c r="R158" s="25"/>
      <c r="S158" s="25"/>
      <c r="T158" s="25"/>
      <c r="U158" s="363"/>
      <c r="V158" s="77">
        <v>14</v>
      </c>
      <c r="W158" s="49"/>
      <c r="X158" s="2">
        <f t="shared" si="134"/>
        <v>0</v>
      </c>
      <c r="Y158" s="2">
        <f t="shared" si="135"/>
        <v>0</v>
      </c>
      <c r="Z158" s="2">
        <f t="shared" si="136"/>
        <v>0</v>
      </c>
      <c r="AD158" s="262"/>
      <c r="AE158" s="262"/>
      <c r="AF158" s="262"/>
    </row>
    <row r="159" spans="1:32" ht="12.75" customHeight="1">
      <c r="A159" s="368"/>
      <c r="B159" s="368"/>
      <c r="C159" s="383"/>
      <c r="D159" s="368"/>
      <c r="E159" s="368"/>
      <c r="F159" s="368"/>
      <c r="G159" s="304" t="s">
        <v>134</v>
      </c>
      <c r="H159" s="240" t="s">
        <v>55</v>
      </c>
      <c r="I159" s="29"/>
      <c r="J159" s="240" t="s">
        <v>65</v>
      </c>
      <c r="K159" s="30">
        <f t="shared" si="137"/>
        <v>0.5</v>
      </c>
      <c r="L159" s="30">
        <f t="shared" si="132"/>
        <v>0</v>
      </c>
      <c r="M159" s="29"/>
      <c r="N159" s="29"/>
      <c r="O159" s="30">
        <f t="shared" si="133"/>
        <v>0.5</v>
      </c>
      <c r="P159" s="29">
        <v>1</v>
      </c>
      <c r="Q159" s="29"/>
      <c r="R159" s="49"/>
      <c r="S159" s="49"/>
      <c r="T159" s="25"/>
      <c r="U159" s="363"/>
      <c r="V159" s="77">
        <v>14</v>
      </c>
      <c r="W159" s="49"/>
      <c r="X159" s="2">
        <f t="shared" si="134"/>
        <v>0.5</v>
      </c>
      <c r="Y159" s="2">
        <f t="shared" si="135"/>
        <v>0</v>
      </c>
      <c r="Z159" s="2">
        <f t="shared" si="136"/>
        <v>0</v>
      </c>
      <c r="AD159" s="262"/>
      <c r="AE159" s="262"/>
      <c r="AF159" s="262"/>
    </row>
    <row r="160" spans="1:32" ht="12.75" customHeight="1">
      <c r="A160" s="368"/>
      <c r="B160" s="368"/>
      <c r="C160" s="383"/>
      <c r="D160" s="368"/>
      <c r="E160" s="368"/>
      <c r="F160" s="368"/>
      <c r="G160" s="304" t="s">
        <v>134</v>
      </c>
      <c r="H160" s="240" t="s">
        <v>55</v>
      </c>
      <c r="I160" s="29"/>
      <c r="J160" s="240" t="s">
        <v>64</v>
      </c>
      <c r="K160" s="30">
        <f t="shared" si="137"/>
        <v>0.5</v>
      </c>
      <c r="L160" s="30">
        <f t="shared" si="132"/>
        <v>0</v>
      </c>
      <c r="M160" s="29"/>
      <c r="N160" s="29"/>
      <c r="O160" s="30">
        <f t="shared" si="133"/>
        <v>0.5</v>
      </c>
      <c r="P160" s="29">
        <v>1</v>
      </c>
      <c r="Q160" s="29"/>
      <c r="R160" s="25"/>
      <c r="S160" s="25"/>
      <c r="T160" s="25"/>
      <c r="U160" s="363"/>
      <c r="V160" s="77">
        <v>14</v>
      </c>
      <c r="W160" s="49"/>
      <c r="X160" s="2">
        <f t="shared" si="134"/>
        <v>0.5</v>
      </c>
      <c r="Y160" s="2">
        <f t="shared" si="135"/>
        <v>0</v>
      </c>
      <c r="Z160" s="2">
        <f t="shared" si="136"/>
        <v>0</v>
      </c>
      <c r="AD160" s="262"/>
      <c r="AE160" s="262"/>
      <c r="AF160" s="262"/>
    </row>
    <row r="161" spans="1:32" ht="12.75" customHeight="1">
      <c r="A161" s="368"/>
      <c r="B161" s="368"/>
      <c r="C161" s="383"/>
      <c r="D161" s="368"/>
      <c r="E161" s="368"/>
      <c r="F161" s="368"/>
      <c r="G161" s="305" t="s">
        <v>144</v>
      </c>
      <c r="H161" s="240" t="s">
        <v>138</v>
      </c>
      <c r="I161" s="29"/>
      <c r="J161" s="240" t="s">
        <v>147</v>
      </c>
      <c r="K161" s="30">
        <f>L161+O161</f>
        <v>1</v>
      </c>
      <c r="L161" s="30">
        <f>IF(I161="m",(M161+N161)*2.5*V161/28,(M161+N161)*2*V161/28)</f>
        <v>0</v>
      </c>
      <c r="M161" s="240"/>
      <c r="N161" s="240"/>
      <c r="O161" s="30">
        <f t="shared" si="133"/>
        <v>1</v>
      </c>
      <c r="P161" s="240"/>
      <c r="Q161" s="240">
        <v>2</v>
      </c>
      <c r="R161" s="25"/>
      <c r="S161" s="25"/>
      <c r="T161" s="25"/>
      <c r="U161" s="363"/>
      <c r="V161" s="77">
        <v>14</v>
      </c>
      <c r="W161" s="49"/>
      <c r="X161" s="2">
        <f t="shared" si="134"/>
        <v>0</v>
      </c>
      <c r="Y161" s="2">
        <f t="shared" si="135"/>
        <v>0</v>
      </c>
      <c r="Z161" s="2">
        <f t="shared" si="136"/>
        <v>0</v>
      </c>
      <c r="AD161" s="262"/>
      <c r="AE161" s="262"/>
      <c r="AF161" s="262"/>
    </row>
    <row r="162" spans="1:32" ht="12.75" customHeight="1">
      <c r="A162" s="368"/>
      <c r="B162" s="368"/>
      <c r="C162" s="383"/>
      <c r="D162" s="368"/>
      <c r="E162" s="368"/>
      <c r="F162" s="368"/>
      <c r="G162" s="306" t="s">
        <v>219</v>
      </c>
      <c r="H162" s="307" t="s">
        <v>49</v>
      </c>
      <c r="I162" s="29"/>
      <c r="J162" s="307" t="s">
        <v>64</v>
      </c>
      <c r="K162" s="30">
        <f>L162+O162</f>
        <v>0.5</v>
      </c>
      <c r="L162" s="30">
        <f>IF(I162="m",(M162+N162)*2.5*V266/28,(M162+N162)*2*V266/28)</f>
        <v>0</v>
      </c>
      <c r="M162" s="29"/>
      <c r="N162" s="29"/>
      <c r="O162" s="30">
        <f>IF(I162="m",(P162+Q162)*1.5*V266/28,(P162+Q162)*1*V266/28)</f>
        <v>0.5</v>
      </c>
      <c r="P162" s="307"/>
      <c r="Q162" s="307">
        <v>1</v>
      </c>
      <c r="R162" s="25"/>
      <c r="S162" s="25"/>
      <c r="T162" s="25"/>
      <c r="U162" s="363"/>
      <c r="V162" s="77">
        <v>14</v>
      </c>
      <c r="W162" s="49"/>
      <c r="X162" s="2">
        <f t="shared" ref="X162:X164" si="138">IF(ISNUMBER(SEARCH("Aut",H162)),K162, 0)</f>
        <v>0</v>
      </c>
      <c r="Y162" s="2">
        <f t="shared" ref="Y162:Y164" si="139">IF(ISNUMBER(SEARCH("Tst",H162)),K162, 0)</f>
        <v>0.5</v>
      </c>
      <c r="Z162" s="2">
        <f t="shared" ref="Z162:Z164" si="140">IF(ISNUMBER(SEARCH("Calc",H162)),K162, 0)</f>
        <v>0</v>
      </c>
      <c r="AD162" s="262"/>
      <c r="AE162" s="262"/>
      <c r="AF162" s="262"/>
    </row>
    <row r="163" spans="1:32" ht="12.75" customHeight="1">
      <c r="A163" s="368"/>
      <c r="B163" s="368"/>
      <c r="C163" s="383"/>
      <c r="D163" s="368"/>
      <c r="E163" s="368"/>
      <c r="F163" s="368"/>
      <c r="G163" s="285" t="s">
        <v>219</v>
      </c>
      <c r="H163" s="240" t="s">
        <v>49</v>
      </c>
      <c r="I163" s="29"/>
      <c r="J163" s="240" t="s">
        <v>65</v>
      </c>
      <c r="K163" s="30">
        <f>L163+O163</f>
        <v>0.5</v>
      </c>
      <c r="L163" s="30">
        <f>IF(I163="m",(M163+N163)*2.5*V268/28,(M163+N163)*2*V268/28)</f>
        <v>0</v>
      </c>
      <c r="M163" s="29"/>
      <c r="N163" s="29"/>
      <c r="O163" s="30">
        <f>IF(I163="m",(P163+Q163)*1.5*V268/28,(P163+Q163)*1*V268/28)</f>
        <v>0.5</v>
      </c>
      <c r="P163" s="308"/>
      <c r="Q163" s="309">
        <v>1</v>
      </c>
      <c r="R163" s="25"/>
      <c r="S163" s="25"/>
      <c r="T163" s="25"/>
      <c r="U163" s="363"/>
      <c r="V163" s="77">
        <v>14</v>
      </c>
      <c r="W163" s="49"/>
      <c r="X163" s="2">
        <f t="shared" si="138"/>
        <v>0</v>
      </c>
      <c r="Y163" s="2">
        <f t="shared" si="139"/>
        <v>0.5</v>
      </c>
      <c r="Z163" s="2">
        <f t="shared" si="140"/>
        <v>0</v>
      </c>
      <c r="AD163" s="262"/>
      <c r="AE163" s="262"/>
      <c r="AF163" s="262"/>
    </row>
    <row r="164" spans="1:32" ht="12.75" customHeight="1">
      <c r="A164" s="368"/>
      <c r="B164" s="368"/>
      <c r="C164" s="383"/>
      <c r="D164" s="368"/>
      <c r="E164" s="368"/>
      <c r="F164" s="368"/>
      <c r="G164" s="285" t="s">
        <v>145</v>
      </c>
      <c r="H164" s="240" t="s">
        <v>55</v>
      </c>
      <c r="I164" s="29"/>
      <c r="J164" s="240" t="s">
        <v>129</v>
      </c>
      <c r="K164" s="30">
        <f>L164+O164</f>
        <v>1</v>
      </c>
      <c r="L164" s="30">
        <f>IF(I164="m",(M164+N164)*2.5*V74/28,(M164+N164)*2*V74/28)</f>
        <v>0</v>
      </c>
      <c r="M164" s="29"/>
      <c r="N164" s="29"/>
      <c r="O164" s="30">
        <f>IF(I164="m",(P164+Q164)*1.5*V74/28,(P164+Q164)*1*V74/28)</f>
        <v>1</v>
      </c>
      <c r="P164" s="29">
        <v>2</v>
      </c>
      <c r="Q164" s="29"/>
      <c r="R164" s="25"/>
      <c r="S164" s="25"/>
      <c r="T164" s="25"/>
      <c r="U164" s="363"/>
      <c r="V164" s="77">
        <v>14</v>
      </c>
      <c r="W164" s="49"/>
      <c r="X164" s="2">
        <f t="shared" si="138"/>
        <v>1</v>
      </c>
      <c r="Y164" s="2">
        <f t="shared" si="139"/>
        <v>0</v>
      </c>
      <c r="Z164" s="2">
        <f t="shared" si="140"/>
        <v>0</v>
      </c>
      <c r="AD164" s="262"/>
      <c r="AE164" s="262"/>
      <c r="AF164" s="262"/>
    </row>
    <row r="165" spans="1:32" ht="13.5" customHeight="1" thickBot="1">
      <c r="A165" s="368"/>
      <c r="B165" s="368"/>
      <c r="C165" s="383"/>
      <c r="D165" s="368"/>
      <c r="E165" s="368"/>
      <c r="F165" s="368"/>
      <c r="G165" s="285" t="s">
        <v>145</v>
      </c>
      <c r="H165" s="240" t="s">
        <v>55</v>
      </c>
      <c r="I165" s="29"/>
      <c r="J165" s="240" t="s">
        <v>129</v>
      </c>
      <c r="K165" s="30">
        <f>L165+O165</f>
        <v>1</v>
      </c>
      <c r="L165" s="30">
        <f>IF(I165="m",(M165+N165)*2.5*V165/28,(M165+N165)*2*V165/28)</f>
        <v>0</v>
      </c>
      <c r="M165" s="29"/>
      <c r="N165" s="29"/>
      <c r="O165" s="30">
        <f t="shared" si="133"/>
        <v>1</v>
      </c>
      <c r="P165" s="29">
        <v>2</v>
      </c>
      <c r="Q165" s="29"/>
      <c r="R165" s="25"/>
      <c r="S165" s="25"/>
      <c r="T165" s="25"/>
      <c r="U165" s="363"/>
      <c r="V165" s="77">
        <v>14</v>
      </c>
      <c r="W165" s="49"/>
      <c r="X165" s="2">
        <f t="shared" si="134"/>
        <v>1</v>
      </c>
      <c r="Y165" s="2">
        <f t="shared" si="135"/>
        <v>0</v>
      </c>
      <c r="Z165" s="2">
        <f t="shared" si="136"/>
        <v>0</v>
      </c>
      <c r="AD165" s="262"/>
      <c r="AE165" s="262"/>
      <c r="AF165" s="262"/>
    </row>
    <row r="166" spans="1:32" ht="12.75" customHeight="1">
      <c r="A166" s="367">
        <v>16</v>
      </c>
      <c r="B166" s="367" t="s">
        <v>155</v>
      </c>
      <c r="C166" s="387"/>
      <c r="D166" s="367" t="s">
        <v>155</v>
      </c>
      <c r="E166" s="367" t="s">
        <v>257</v>
      </c>
      <c r="F166" s="367" t="s">
        <v>15</v>
      </c>
      <c r="G166" s="376"/>
      <c r="H166" s="376"/>
      <c r="I166" s="375"/>
      <c r="J166" s="127">
        <v>16</v>
      </c>
      <c r="K166" s="131">
        <f>SUM(K168:K176)</f>
        <v>12</v>
      </c>
      <c r="L166" s="364">
        <f>SUM(L168:L176)</f>
        <v>4</v>
      </c>
      <c r="M166" s="364">
        <f t="shared" ref="M166:Q166" si="141">SUM(M168:M176)</f>
        <v>2</v>
      </c>
      <c r="N166" s="364">
        <f t="shared" si="141"/>
        <v>2</v>
      </c>
      <c r="O166" s="364">
        <f t="shared" si="141"/>
        <v>8</v>
      </c>
      <c r="P166" s="364">
        <f t="shared" si="141"/>
        <v>8</v>
      </c>
      <c r="Q166" s="365">
        <f t="shared" si="141"/>
        <v>8</v>
      </c>
      <c r="R166" s="128">
        <f>J166-K166</f>
        <v>4</v>
      </c>
      <c r="S166" s="233">
        <f>S167/28</f>
        <v>5</v>
      </c>
      <c r="T166" s="233"/>
      <c r="U166" s="362"/>
      <c r="V166" s="209"/>
      <c r="W166" s="106"/>
      <c r="X166" s="2">
        <f t="shared" si="134"/>
        <v>0</v>
      </c>
      <c r="Y166" s="2">
        <f t="shared" si="135"/>
        <v>0</v>
      </c>
      <c r="Z166" s="2">
        <f t="shared" si="136"/>
        <v>0</v>
      </c>
      <c r="AA166" s="2">
        <f>SUM(X166:X176)</f>
        <v>8</v>
      </c>
      <c r="AB166" s="2">
        <f>SUM(Y166:Y176)</f>
        <v>4</v>
      </c>
      <c r="AC166" s="2">
        <f>SUM(Z166:Z176)</f>
        <v>0</v>
      </c>
      <c r="AD166" s="270">
        <f t="shared" ref="AD166" si="142">AA166/11</f>
        <v>0.72727272727272729</v>
      </c>
      <c r="AE166" s="270">
        <f t="shared" ref="AE166" si="143">AB166/11</f>
        <v>0.36363636363636365</v>
      </c>
      <c r="AF166" s="270">
        <f t="shared" ref="AF166" si="144">AC166/11</f>
        <v>0</v>
      </c>
    </row>
    <row r="167" spans="1:32" ht="13.5" customHeight="1" thickBot="1">
      <c r="A167" s="368"/>
      <c r="B167" s="368"/>
      <c r="C167" s="383"/>
      <c r="D167" s="368"/>
      <c r="E167" s="368"/>
      <c r="F167" s="368"/>
      <c r="G167" s="370"/>
      <c r="H167" s="371"/>
      <c r="I167" s="373"/>
      <c r="J167" s="129">
        <v>448</v>
      </c>
      <c r="K167" s="132">
        <f>K166*28</f>
        <v>336</v>
      </c>
      <c r="L167" s="361"/>
      <c r="M167" s="361"/>
      <c r="N167" s="361"/>
      <c r="O167" s="361"/>
      <c r="P167" s="361"/>
      <c r="Q167" s="366"/>
      <c r="R167" s="126">
        <f>J167-K167</f>
        <v>112</v>
      </c>
      <c r="S167" s="108">
        <f>SUM(S168:S176)</f>
        <v>140</v>
      </c>
      <c r="T167" s="16"/>
      <c r="U167" s="363"/>
      <c r="V167" s="77"/>
      <c r="W167" s="49"/>
      <c r="X167" s="2">
        <f t="shared" si="134"/>
        <v>0</v>
      </c>
      <c r="Y167" s="2">
        <f t="shared" si="135"/>
        <v>0</v>
      </c>
      <c r="Z167" s="2">
        <f t="shared" si="136"/>
        <v>0</v>
      </c>
      <c r="AD167" s="262"/>
      <c r="AE167" s="262"/>
      <c r="AF167" s="262"/>
    </row>
    <row r="168" spans="1:32" ht="12.75" customHeight="1">
      <c r="A168" s="368"/>
      <c r="B168" s="368"/>
      <c r="C168" s="383"/>
      <c r="D168" s="368"/>
      <c r="E168" s="368"/>
      <c r="F168" s="368"/>
      <c r="G168" s="285" t="s">
        <v>59</v>
      </c>
      <c r="H168" s="240" t="s">
        <v>167</v>
      </c>
      <c r="I168" s="29"/>
      <c r="J168" s="299" t="s">
        <v>62</v>
      </c>
      <c r="K168" s="287">
        <f t="shared" ref="K168:K176" si="145">L168+O168</f>
        <v>2</v>
      </c>
      <c r="L168" s="287">
        <f t="shared" ref="L168:L176" si="146">IF(I168="m",(M168+N168)*2.5*V168/28,(M168+N168)*2*V168/28)</f>
        <v>2</v>
      </c>
      <c r="M168" s="288"/>
      <c r="N168" s="288">
        <v>2</v>
      </c>
      <c r="O168" s="287">
        <f t="shared" ref="O168:O176" si="147">IF(I168="m",(P168+Q168)*1.5*V168/28,(P168+Q168)*1*V168/28)</f>
        <v>0</v>
      </c>
      <c r="P168" s="288"/>
      <c r="Q168" s="288"/>
      <c r="R168" s="25" t="s">
        <v>234</v>
      </c>
      <c r="S168" s="25">
        <v>52</v>
      </c>
      <c r="T168" s="25"/>
      <c r="U168" s="363"/>
      <c r="V168" s="77">
        <v>14</v>
      </c>
      <c r="W168" s="49"/>
      <c r="X168" s="2">
        <f t="shared" si="134"/>
        <v>0</v>
      </c>
      <c r="Y168" s="2">
        <f t="shared" si="135"/>
        <v>0</v>
      </c>
      <c r="Z168" s="2">
        <f t="shared" si="136"/>
        <v>0</v>
      </c>
      <c r="AD168" s="262"/>
      <c r="AE168" s="262"/>
      <c r="AF168" s="262"/>
    </row>
    <row r="169" spans="1:32" ht="25.5" customHeight="1">
      <c r="A169" s="368"/>
      <c r="B169" s="368"/>
      <c r="C169" s="383"/>
      <c r="D169" s="368"/>
      <c r="E169" s="368"/>
      <c r="F169" s="368"/>
      <c r="G169" s="285" t="s">
        <v>168</v>
      </c>
      <c r="H169" s="240" t="s">
        <v>169</v>
      </c>
      <c r="I169" s="29"/>
      <c r="J169" s="240" t="s">
        <v>62</v>
      </c>
      <c r="K169" s="287">
        <f t="shared" si="145"/>
        <v>2</v>
      </c>
      <c r="L169" s="287">
        <f t="shared" si="146"/>
        <v>2</v>
      </c>
      <c r="M169" s="29">
        <v>2</v>
      </c>
      <c r="N169" s="288"/>
      <c r="O169" s="287">
        <f t="shared" si="147"/>
        <v>0</v>
      </c>
      <c r="P169" s="29"/>
      <c r="Q169" s="29"/>
      <c r="R169" s="25" t="s">
        <v>39</v>
      </c>
      <c r="S169" s="25">
        <v>72</v>
      </c>
      <c r="T169" s="25"/>
      <c r="U169" s="363"/>
      <c r="V169" s="77">
        <v>14</v>
      </c>
      <c r="W169" s="49"/>
      <c r="X169" s="2">
        <f t="shared" si="134"/>
        <v>2</v>
      </c>
      <c r="Y169" s="2">
        <f t="shared" si="135"/>
        <v>2</v>
      </c>
      <c r="Z169" s="2">
        <f t="shared" si="136"/>
        <v>0</v>
      </c>
      <c r="AD169" s="262"/>
      <c r="AE169" s="262"/>
      <c r="AF169" s="262"/>
    </row>
    <row r="170" spans="1:32" ht="25.5" customHeight="1">
      <c r="A170" s="368"/>
      <c r="B170" s="368"/>
      <c r="C170" s="383"/>
      <c r="D170" s="368"/>
      <c r="E170" s="368"/>
      <c r="F170" s="368"/>
      <c r="G170" s="285" t="s">
        <v>168</v>
      </c>
      <c r="H170" s="240" t="s">
        <v>49</v>
      </c>
      <c r="I170" s="29"/>
      <c r="J170" s="240" t="s">
        <v>65</v>
      </c>
      <c r="K170" s="287">
        <f t="shared" si="145"/>
        <v>1</v>
      </c>
      <c r="L170" s="287">
        <f t="shared" si="146"/>
        <v>0</v>
      </c>
      <c r="M170" s="240"/>
      <c r="N170" s="288"/>
      <c r="O170" s="287">
        <f t="shared" si="147"/>
        <v>1</v>
      </c>
      <c r="P170" s="240">
        <v>2</v>
      </c>
      <c r="Q170" s="240"/>
      <c r="R170" s="25"/>
      <c r="S170" s="25"/>
      <c r="T170" s="25"/>
      <c r="U170" s="363"/>
      <c r="V170" s="77">
        <v>14</v>
      </c>
      <c r="W170" s="49"/>
      <c r="X170" s="2">
        <f t="shared" si="134"/>
        <v>0</v>
      </c>
      <c r="Y170" s="2">
        <f t="shared" si="135"/>
        <v>1</v>
      </c>
      <c r="Z170" s="2">
        <f t="shared" si="136"/>
        <v>0</v>
      </c>
      <c r="AD170" s="262"/>
      <c r="AE170" s="262"/>
      <c r="AF170" s="262"/>
    </row>
    <row r="171" spans="1:32" ht="25.5" customHeight="1">
      <c r="A171" s="368"/>
      <c r="B171" s="368"/>
      <c r="C171" s="383"/>
      <c r="D171" s="368"/>
      <c r="E171" s="368"/>
      <c r="F171" s="368"/>
      <c r="G171" s="285" t="s">
        <v>168</v>
      </c>
      <c r="H171" s="240" t="s">
        <v>55</v>
      </c>
      <c r="I171" s="29"/>
      <c r="J171" s="240" t="s">
        <v>65</v>
      </c>
      <c r="K171" s="287">
        <f t="shared" si="145"/>
        <v>1</v>
      </c>
      <c r="L171" s="287">
        <f t="shared" si="146"/>
        <v>0</v>
      </c>
      <c r="M171" s="29"/>
      <c r="N171" s="288"/>
      <c r="O171" s="287">
        <f t="shared" si="147"/>
        <v>1</v>
      </c>
      <c r="P171" s="29">
        <v>2</v>
      </c>
      <c r="Q171" s="29"/>
      <c r="R171" s="25"/>
      <c r="S171" s="25"/>
      <c r="T171" s="25"/>
      <c r="U171" s="363"/>
      <c r="V171" s="77">
        <v>14</v>
      </c>
      <c r="W171" s="49"/>
      <c r="X171" s="2">
        <f t="shared" si="134"/>
        <v>1</v>
      </c>
      <c r="Y171" s="2">
        <f t="shared" si="135"/>
        <v>0</v>
      </c>
      <c r="Z171" s="2">
        <f t="shared" si="136"/>
        <v>0</v>
      </c>
      <c r="AD171" s="262"/>
      <c r="AE171" s="262"/>
      <c r="AF171" s="262"/>
    </row>
    <row r="172" spans="1:32" ht="25.5" customHeight="1">
      <c r="A172" s="368"/>
      <c r="B172" s="368"/>
      <c r="C172" s="383"/>
      <c r="D172" s="368"/>
      <c r="E172" s="368"/>
      <c r="F172" s="368"/>
      <c r="G172" s="285" t="s">
        <v>44</v>
      </c>
      <c r="H172" s="240" t="s">
        <v>55</v>
      </c>
      <c r="I172" s="29"/>
      <c r="J172" s="240" t="s">
        <v>19</v>
      </c>
      <c r="K172" s="287">
        <f t="shared" si="145"/>
        <v>1</v>
      </c>
      <c r="L172" s="287">
        <f t="shared" si="146"/>
        <v>0</v>
      </c>
      <c r="M172" s="29"/>
      <c r="N172" s="288"/>
      <c r="O172" s="287">
        <f t="shared" si="147"/>
        <v>1</v>
      </c>
      <c r="P172" s="29">
        <v>2</v>
      </c>
      <c r="Q172" s="29"/>
      <c r="R172" s="25" t="s">
        <v>38</v>
      </c>
      <c r="S172" s="25">
        <v>16</v>
      </c>
      <c r="T172" s="25"/>
      <c r="U172" s="363"/>
      <c r="V172" s="77">
        <v>14</v>
      </c>
      <c r="W172" s="49"/>
      <c r="X172" s="2">
        <f t="shared" si="134"/>
        <v>1</v>
      </c>
      <c r="Y172" s="2">
        <f t="shared" si="135"/>
        <v>0</v>
      </c>
      <c r="Z172" s="2">
        <f t="shared" si="136"/>
        <v>0</v>
      </c>
      <c r="AD172" s="262"/>
      <c r="AE172" s="262"/>
      <c r="AF172" s="262"/>
    </row>
    <row r="173" spans="1:32" ht="25.5" customHeight="1">
      <c r="A173" s="368"/>
      <c r="B173" s="368"/>
      <c r="C173" s="383"/>
      <c r="D173" s="368"/>
      <c r="E173" s="368"/>
      <c r="F173" s="368"/>
      <c r="G173" s="285" t="s">
        <v>44</v>
      </c>
      <c r="H173" s="240" t="s">
        <v>55</v>
      </c>
      <c r="I173" s="29"/>
      <c r="J173" s="240" t="s">
        <v>65</v>
      </c>
      <c r="K173" s="30">
        <f t="shared" si="145"/>
        <v>1</v>
      </c>
      <c r="L173" s="287">
        <f t="shared" si="146"/>
        <v>0</v>
      </c>
      <c r="M173" s="29"/>
      <c r="N173" s="288"/>
      <c r="O173" s="287">
        <f t="shared" si="147"/>
        <v>1</v>
      </c>
      <c r="P173" s="29">
        <v>2</v>
      </c>
      <c r="Q173" s="29"/>
      <c r="R173" s="25"/>
      <c r="S173" s="25"/>
      <c r="T173" s="25"/>
      <c r="U173" s="363"/>
      <c r="V173" s="77">
        <v>14</v>
      </c>
      <c r="W173" s="49"/>
      <c r="X173" s="2">
        <f t="shared" ref="X173" si="148">IF(ISNUMBER(SEARCH("Aut",H173)),K173, 0)</f>
        <v>1</v>
      </c>
      <c r="Y173" s="2">
        <f t="shared" ref="Y173" si="149">IF(ISNUMBER(SEARCH("Tst",H173)),K173, 0)</f>
        <v>0</v>
      </c>
      <c r="Z173" s="2">
        <f t="shared" ref="Z173" si="150">IF(ISNUMBER(SEARCH("Calc",H173)),K173, 0)</f>
        <v>0</v>
      </c>
      <c r="AD173" s="262"/>
      <c r="AE173" s="262"/>
      <c r="AF173" s="262"/>
    </row>
    <row r="174" spans="1:32" ht="25.5">
      <c r="A174" s="368"/>
      <c r="B174" s="368"/>
      <c r="C174" s="383"/>
      <c r="D174" s="368"/>
      <c r="E174" s="368"/>
      <c r="F174" s="368"/>
      <c r="G174" s="285" t="s">
        <v>58</v>
      </c>
      <c r="H174" s="240" t="s">
        <v>55</v>
      </c>
      <c r="I174" s="29"/>
      <c r="J174" s="240" t="s">
        <v>65</v>
      </c>
      <c r="K174" s="30">
        <f>L174+O174</f>
        <v>1</v>
      </c>
      <c r="L174" s="287">
        <f t="shared" si="146"/>
        <v>0</v>
      </c>
      <c r="M174" s="29"/>
      <c r="N174" s="288"/>
      <c r="O174" s="287">
        <f t="shared" si="147"/>
        <v>1</v>
      </c>
      <c r="P174" s="240"/>
      <c r="Q174" s="240">
        <v>2</v>
      </c>
      <c r="R174" s="25"/>
      <c r="S174" s="25"/>
      <c r="T174" s="25"/>
      <c r="U174" s="363"/>
      <c r="V174" s="77">
        <v>14</v>
      </c>
      <c r="W174" s="49"/>
      <c r="X174" s="2">
        <f t="shared" ref="X174" si="151">IF(ISNUMBER(SEARCH("Aut",H174)),K174, 0)</f>
        <v>1</v>
      </c>
      <c r="Y174" s="2">
        <f t="shared" ref="Y174" si="152">IF(ISNUMBER(SEARCH("Tst",H174)),K174, 0)</f>
        <v>0</v>
      </c>
      <c r="Z174" s="2">
        <f t="shared" ref="Z174" si="153">IF(ISNUMBER(SEARCH("Calc",H174)),K174, 0)</f>
        <v>0</v>
      </c>
      <c r="AD174" s="262"/>
      <c r="AE174" s="262"/>
      <c r="AF174" s="262"/>
    </row>
    <row r="175" spans="1:32" ht="25.5" customHeight="1">
      <c r="A175" s="368"/>
      <c r="B175" s="368"/>
      <c r="C175" s="383"/>
      <c r="D175" s="368"/>
      <c r="E175" s="368"/>
      <c r="F175" s="368"/>
      <c r="G175" s="285" t="s">
        <v>58</v>
      </c>
      <c r="H175" s="240" t="s">
        <v>49</v>
      </c>
      <c r="I175" s="29"/>
      <c r="J175" s="240" t="s">
        <v>135</v>
      </c>
      <c r="K175" s="30">
        <f t="shared" si="145"/>
        <v>1</v>
      </c>
      <c r="L175" s="287">
        <f t="shared" si="146"/>
        <v>0</v>
      </c>
      <c r="M175" s="240"/>
      <c r="N175" s="288"/>
      <c r="O175" s="287">
        <f t="shared" si="147"/>
        <v>1</v>
      </c>
      <c r="P175" s="240"/>
      <c r="Q175" s="240">
        <v>2</v>
      </c>
      <c r="R175" s="49"/>
      <c r="S175" s="49"/>
      <c r="T175" s="25"/>
      <c r="U175" s="363"/>
      <c r="V175" s="77">
        <v>14</v>
      </c>
      <c r="W175" s="49"/>
      <c r="X175" s="2">
        <f t="shared" si="134"/>
        <v>0</v>
      </c>
      <c r="Y175" s="2">
        <f t="shared" si="135"/>
        <v>1</v>
      </c>
      <c r="Z175" s="2">
        <f t="shared" si="136"/>
        <v>0</v>
      </c>
      <c r="AD175" s="262"/>
      <c r="AE175" s="262"/>
      <c r="AF175" s="262"/>
    </row>
    <row r="176" spans="1:32" ht="26.25" customHeight="1" thickBot="1">
      <c r="A176" s="368"/>
      <c r="B176" s="368"/>
      <c r="C176" s="383"/>
      <c r="D176" s="368"/>
      <c r="E176" s="368"/>
      <c r="F176" s="368"/>
      <c r="G176" s="285" t="s">
        <v>58</v>
      </c>
      <c r="H176" s="240" t="s">
        <v>55</v>
      </c>
      <c r="I176" s="29"/>
      <c r="J176" s="240" t="s">
        <v>19</v>
      </c>
      <c r="K176" s="287">
        <f t="shared" si="145"/>
        <v>2</v>
      </c>
      <c r="L176" s="287">
        <f t="shared" si="146"/>
        <v>0</v>
      </c>
      <c r="M176" s="29"/>
      <c r="N176" s="29"/>
      <c r="O176" s="287">
        <f t="shared" si="147"/>
        <v>2</v>
      </c>
      <c r="P176" s="29"/>
      <c r="Q176" s="29">
        <v>4</v>
      </c>
      <c r="R176" s="25"/>
      <c r="S176" s="25"/>
      <c r="T176" s="25"/>
      <c r="U176" s="363"/>
      <c r="V176" s="77">
        <v>14</v>
      </c>
      <c r="W176" s="49"/>
      <c r="X176" s="2">
        <f t="shared" si="134"/>
        <v>2</v>
      </c>
      <c r="Y176" s="2">
        <f t="shared" si="135"/>
        <v>0</v>
      </c>
      <c r="Z176" s="2">
        <f t="shared" si="136"/>
        <v>0</v>
      </c>
      <c r="AD176" s="262"/>
      <c r="AE176" s="262"/>
      <c r="AF176" s="262"/>
    </row>
    <row r="177" spans="1:32" ht="12.75" customHeight="1">
      <c r="A177" s="367">
        <v>17</v>
      </c>
      <c r="B177" s="367" t="s">
        <v>155</v>
      </c>
      <c r="C177" s="387"/>
      <c r="D177" s="367" t="s">
        <v>155</v>
      </c>
      <c r="E177" s="367" t="s">
        <v>257</v>
      </c>
      <c r="F177" s="367" t="s">
        <v>15</v>
      </c>
      <c r="G177" s="376"/>
      <c r="H177" s="376"/>
      <c r="I177" s="375"/>
      <c r="J177" s="127">
        <v>16</v>
      </c>
      <c r="K177" s="131">
        <f>SUM(K179:K190)</f>
        <v>12</v>
      </c>
      <c r="L177" s="364">
        <f t="shared" ref="L177:Q177" si="154">SUM(L179:L190)</f>
        <v>4</v>
      </c>
      <c r="M177" s="364">
        <f t="shared" si="154"/>
        <v>2</v>
      </c>
      <c r="N177" s="364">
        <f t="shared" si="154"/>
        <v>2</v>
      </c>
      <c r="O177" s="364">
        <f t="shared" si="154"/>
        <v>8</v>
      </c>
      <c r="P177" s="364">
        <f t="shared" si="154"/>
        <v>6</v>
      </c>
      <c r="Q177" s="365">
        <f t="shared" si="154"/>
        <v>10</v>
      </c>
      <c r="R177" s="128">
        <f>J177-K177</f>
        <v>4</v>
      </c>
      <c r="S177" s="233">
        <f>S178/28</f>
        <v>5</v>
      </c>
      <c r="T177" s="233"/>
      <c r="U177" s="362"/>
      <c r="V177" s="209"/>
      <c r="W177" s="106"/>
      <c r="X177" s="2">
        <f t="shared" si="134"/>
        <v>0</v>
      </c>
      <c r="Y177" s="2">
        <f t="shared" si="135"/>
        <v>0</v>
      </c>
      <c r="Z177" s="2">
        <f t="shared" si="136"/>
        <v>0</v>
      </c>
      <c r="AA177" s="2">
        <f>SUM(X177:X190)</f>
        <v>9</v>
      </c>
      <c r="AB177" s="2">
        <f>SUM(Y177:Y190)</f>
        <v>4</v>
      </c>
      <c r="AC177" s="2">
        <f>SUM(Z177:Z190)</f>
        <v>2.5</v>
      </c>
      <c r="AD177" s="270">
        <f t="shared" ref="AD177" si="155">AA177/11</f>
        <v>0.81818181818181823</v>
      </c>
      <c r="AE177" s="270">
        <f t="shared" ref="AE177" si="156">AB177/11</f>
        <v>0.36363636363636365</v>
      </c>
      <c r="AF177" s="270">
        <f t="shared" ref="AF177" si="157">AC177/11</f>
        <v>0.22727272727272727</v>
      </c>
    </row>
    <row r="178" spans="1:32" ht="12.75" customHeight="1">
      <c r="A178" s="368"/>
      <c r="B178" s="368"/>
      <c r="C178" s="383"/>
      <c r="D178" s="368"/>
      <c r="E178" s="368"/>
      <c r="F178" s="368"/>
      <c r="G178" s="390"/>
      <c r="H178" s="388"/>
      <c r="I178" s="389"/>
      <c r="J178" s="241">
        <v>448</v>
      </c>
      <c r="K178" s="242">
        <f>K177*28</f>
        <v>336</v>
      </c>
      <c r="L178" s="374"/>
      <c r="M178" s="374"/>
      <c r="N178" s="374"/>
      <c r="O178" s="374"/>
      <c r="P178" s="374"/>
      <c r="Q178" s="377"/>
      <c r="R178" s="126">
        <f>J178-K178</f>
        <v>112</v>
      </c>
      <c r="S178" s="108">
        <f>SUM(S179:S190)</f>
        <v>140</v>
      </c>
      <c r="T178" s="16"/>
      <c r="U178" s="363"/>
      <c r="V178" s="77"/>
      <c r="W178" s="49"/>
      <c r="X178" s="2">
        <f t="shared" si="134"/>
        <v>0</v>
      </c>
      <c r="Y178" s="2">
        <f t="shared" si="135"/>
        <v>0</v>
      </c>
      <c r="Z178" s="2">
        <f t="shared" si="136"/>
        <v>0</v>
      </c>
      <c r="AD178" s="262"/>
      <c r="AE178" s="262"/>
      <c r="AF178" s="262"/>
    </row>
    <row r="179" spans="1:32" ht="12.75" customHeight="1">
      <c r="A179" s="368"/>
      <c r="B179" s="368"/>
      <c r="C179" s="383"/>
      <c r="D179" s="368"/>
      <c r="E179" s="368"/>
      <c r="F179" s="368"/>
      <c r="G179" s="285" t="s">
        <v>170</v>
      </c>
      <c r="H179" s="240" t="s">
        <v>55</v>
      </c>
      <c r="I179" s="29"/>
      <c r="J179" s="240" t="s">
        <v>23</v>
      </c>
      <c r="K179" s="30">
        <f t="shared" ref="K179:K190" si="158">L179+O179</f>
        <v>2</v>
      </c>
      <c r="L179" s="30">
        <f t="shared" ref="L179:L190" si="159">IF(I179="m",(M179+N179)*2.5*V179/28,(M179+N179)*2*V179/28)</f>
        <v>2</v>
      </c>
      <c r="M179" s="29">
        <v>2</v>
      </c>
      <c r="N179" s="29"/>
      <c r="O179" s="30">
        <f t="shared" ref="O179:O190" si="160">IF(I179="m",(P179+Q179)*1.5*V179/28,(P179+Q179)*1*V179/28)</f>
        <v>0</v>
      </c>
      <c r="P179" s="29"/>
      <c r="Q179" s="29"/>
      <c r="R179" s="25" t="s">
        <v>38</v>
      </c>
      <c r="S179" s="25">
        <v>65</v>
      </c>
      <c r="T179" s="25"/>
      <c r="U179" s="363"/>
      <c r="V179" s="77">
        <v>14</v>
      </c>
      <c r="W179" s="49"/>
      <c r="X179" s="2">
        <f t="shared" si="134"/>
        <v>2</v>
      </c>
      <c r="Y179" s="2">
        <f t="shared" si="135"/>
        <v>0</v>
      </c>
      <c r="Z179" s="2">
        <f t="shared" si="136"/>
        <v>0</v>
      </c>
      <c r="AD179" s="262"/>
      <c r="AE179" s="262"/>
      <c r="AF179" s="262"/>
    </row>
    <row r="180" spans="1:32" ht="12.75" customHeight="1">
      <c r="A180" s="368"/>
      <c r="B180" s="368"/>
      <c r="C180" s="383"/>
      <c r="D180" s="368"/>
      <c r="E180" s="368"/>
      <c r="F180" s="368"/>
      <c r="G180" s="285" t="s">
        <v>171</v>
      </c>
      <c r="H180" s="240" t="s">
        <v>47</v>
      </c>
      <c r="I180" s="29"/>
      <c r="J180" s="240" t="s">
        <v>220</v>
      </c>
      <c r="K180" s="287">
        <f t="shared" si="158"/>
        <v>2</v>
      </c>
      <c r="L180" s="30">
        <f t="shared" si="159"/>
        <v>2</v>
      </c>
      <c r="M180" s="29"/>
      <c r="N180" s="29">
        <v>2</v>
      </c>
      <c r="O180" s="287">
        <f t="shared" si="160"/>
        <v>0</v>
      </c>
      <c r="P180" s="288"/>
      <c r="Q180" s="288"/>
      <c r="R180" s="25" t="s">
        <v>39</v>
      </c>
      <c r="S180" s="25">
        <v>30</v>
      </c>
      <c r="T180" s="25"/>
      <c r="U180" s="363"/>
      <c r="V180" s="77">
        <v>14</v>
      </c>
      <c r="W180" s="49"/>
      <c r="X180" s="2">
        <f t="shared" si="134"/>
        <v>2</v>
      </c>
      <c r="Y180" s="2">
        <f t="shared" si="135"/>
        <v>2</v>
      </c>
      <c r="Z180" s="2">
        <f t="shared" si="136"/>
        <v>2</v>
      </c>
      <c r="AD180" s="262"/>
      <c r="AE180" s="262"/>
      <c r="AF180" s="262"/>
    </row>
    <row r="181" spans="1:32" ht="12.75" customHeight="1">
      <c r="A181" s="368"/>
      <c r="B181" s="368"/>
      <c r="C181" s="383"/>
      <c r="D181" s="368"/>
      <c r="E181" s="368"/>
      <c r="F181" s="368"/>
      <c r="G181" s="311" t="s">
        <v>171</v>
      </c>
      <c r="H181" s="240" t="s">
        <v>55</v>
      </c>
      <c r="I181" s="29"/>
      <c r="J181" s="240" t="s">
        <v>129</v>
      </c>
      <c r="K181" s="30">
        <f t="shared" si="158"/>
        <v>1</v>
      </c>
      <c r="L181" s="30">
        <f t="shared" si="159"/>
        <v>0</v>
      </c>
      <c r="M181" s="29"/>
      <c r="N181" s="29"/>
      <c r="O181" s="287">
        <f t="shared" si="160"/>
        <v>1</v>
      </c>
      <c r="P181" s="29"/>
      <c r="Q181" s="29">
        <v>2</v>
      </c>
      <c r="R181" s="25" t="s">
        <v>234</v>
      </c>
      <c r="S181" s="25">
        <v>45</v>
      </c>
      <c r="T181" s="25"/>
      <c r="U181" s="363"/>
      <c r="V181" s="77">
        <v>14</v>
      </c>
      <c r="W181" s="49"/>
      <c r="X181" s="2">
        <f t="shared" si="134"/>
        <v>1</v>
      </c>
      <c r="Y181" s="2">
        <f t="shared" si="135"/>
        <v>0</v>
      </c>
      <c r="Z181" s="2">
        <f t="shared" si="136"/>
        <v>0</v>
      </c>
      <c r="AD181" s="262"/>
      <c r="AE181" s="262"/>
      <c r="AF181" s="262"/>
    </row>
    <row r="182" spans="1:32" ht="14.25" customHeight="1">
      <c r="A182" s="368"/>
      <c r="B182" s="368"/>
      <c r="C182" s="383"/>
      <c r="D182" s="368"/>
      <c r="E182" s="368"/>
      <c r="F182" s="368"/>
      <c r="G182" s="285" t="s">
        <v>171</v>
      </c>
      <c r="H182" s="240" t="s">
        <v>49</v>
      </c>
      <c r="I182" s="29"/>
      <c r="J182" s="240" t="s">
        <v>129</v>
      </c>
      <c r="K182" s="30">
        <f>L182+O182</f>
        <v>1</v>
      </c>
      <c r="L182" s="30">
        <f t="shared" si="159"/>
        <v>0</v>
      </c>
      <c r="M182" s="29"/>
      <c r="N182" s="29"/>
      <c r="O182" s="287">
        <f t="shared" si="160"/>
        <v>1</v>
      </c>
      <c r="P182" s="29"/>
      <c r="Q182" s="29">
        <v>2</v>
      </c>
      <c r="R182" s="25"/>
      <c r="S182" s="25"/>
      <c r="T182" s="25"/>
      <c r="U182" s="363"/>
      <c r="V182" s="77">
        <v>14</v>
      </c>
      <c r="W182" s="49"/>
      <c r="X182" s="2">
        <f t="shared" si="134"/>
        <v>0</v>
      </c>
      <c r="Y182" s="2">
        <f t="shared" si="135"/>
        <v>1</v>
      </c>
      <c r="Z182" s="2">
        <f t="shared" si="136"/>
        <v>0</v>
      </c>
      <c r="AD182" s="262"/>
      <c r="AE182" s="262"/>
      <c r="AF182" s="262"/>
    </row>
    <row r="183" spans="1:32" ht="12.75" customHeight="1">
      <c r="A183" s="368"/>
      <c r="B183" s="368"/>
      <c r="C183" s="383"/>
      <c r="D183" s="368"/>
      <c r="E183" s="368"/>
      <c r="F183" s="368"/>
      <c r="G183" s="285" t="s">
        <v>170</v>
      </c>
      <c r="H183" s="240" t="s">
        <v>55</v>
      </c>
      <c r="I183" s="29"/>
      <c r="J183" s="240" t="s">
        <v>126</v>
      </c>
      <c r="K183" s="30">
        <f t="shared" si="158"/>
        <v>2</v>
      </c>
      <c r="L183" s="30">
        <f t="shared" si="159"/>
        <v>0</v>
      </c>
      <c r="M183" s="29"/>
      <c r="N183" s="29"/>
      <c r="O183" s="287">
        <f t="shared" si="160"/>
        <v>2</v>
      </c>
      <c r="P183" s="29">
        <v>4</v>
      </c>
      <c r="Q183" s="29"/>
      <c r="R183" s="16"/>
      <c r="S183" s="25"/>
      <c r="T183" s="25"/>
      <c r="U183" s="363"/>
      <c r="V183" s="77">
        <v>14</v>
      </c>
      <c r="W183" s="49"/>
      <c r="X183" s="2">
        <f t="shared" si="134"/>
        <v>2</v>
      </c>
      <c r="Y183" s="2">
        <f t="shared" si="135"/>
        <v>0</v>
      </c>
      <c r="Z183" s="2">
        <f t="shared" si="136"/>
        <v>0</v>
      </c>
      <c r="AD183" s="262"/>
      <c r="AE183" s="262"/>
      <c r="AF183" s="262"/>
    </row>
    <row r="184" spans="1:32" ht="12.75" customHeight="1">
      <c r="A184" s="368"/>
      <c r="B184" s="368"/>
      <c r="C184" s="383"/>
      <c r="D184" s="368"/>
      <c r="E184" s="368"/>
      <c r="F184" s="368"/>
      <c r="G184" s="285" t="s">
        <v>124</v>
      </c>
      <c r="H184" s="240" t="s">
        <v>55</v>
      </c>
      <c r="I184" s="29"/>
      <c r="J184" s="240" t="s">
        <v>126</v>
      </c>
      <c r="K184" s="30">
        <f t="shared" ref="K184:K189" si="161">L184+O184</f>
        <v>1</v>
      </c>
      <c r="L184" s="30">
        <f t="shared" si="159"/>
        <v>0</v>
      </c>
      <c r="M184" s="29"/>
      <c r="N184" s="29"/>
      <c r="O184" s="287">
        <f t="shared" si="160"/>
        <v>1</v>
      </c>
      <c r="P184" s="240">
        <v>2</v>
      </c>
      <c r="Q184" s="240"/>
      <c r="R184" s="16"/>
      <c r="S184" s="25"/>
      <c r="T184" s="25"/>
      <c r="U184" s="363"/>
      <c r="V184" s="77">
        <v>14</v>
      </c>
      <c r="W184" s="49"/>
      <c r="X184" s="2">
        <f t="shared" ref="X184" si="162">IF(ISNUMBER(SEARCH("Aut",H184)),K184, 0)</f>
        <v>1</v>
      </c>
      <c r="Y184" s="2">
        <f t="shared" ref="Y184" si="163">IF(ISNUMBER(SEARCH("Tst",H184)),K184, 0)</f>
        <v>0</v>
      </c>
      <c r="Z184" s="2">
        <f t="shared" ref="Z184" si="164">IF(ISNUMBER(SEARCH("Calc",H184)),K184, 0)</f>
        <v>0</v>
      </c>
      <c r="AD184" s="262"/>
      <c r="AE184" s="262"/>
      <c r="AF184" s="262"/>
    </row>
    <row r="185" spans="1:32" ht="12.75" customHeight="1">
      <c r="A185" s="368"/>
      <c r="B185" s="368"/>
      <c r="C185" s="383"/>
      <c r="D185" s="368"/>
      <c r="E185" s="368"/>
      <c r="F185" s="368"/>
      <c r="G185" s="285" t="s">
        <v>136</v>
      </c>
      <c r="H185" s="240" t="s">
        <v>61</v>
      </c>
      <c r="I185" s="29"/>
      <c r="J185" s="240" t="s">
        <v>64</v>
      </c>
      <c r="K185" s="30">
        <f t="shared" si="161"/>
        <v>0.5</v>
      </c>
      <c r="L185" s="30">
        <f t="shared" si="159"/>
        <v>0</v>
      </c>
      <c r="M185" s="29"/>
      <c r="N185" s="29"/>
      <c r="O185" s="287">
        <f t="shared" si="160"/>
        <v>0.5</v>
      </c>
      <c r="P185" s="29"/>
      <c r="Q185" s="29">
        <v>1</v>
      </c>
      <c r="R185" s="49"/>
      <c r="S185" s="49"/>
      <c r="T185" s="25"/>
      <c r="U185" s="363"/>
      <c r="V185" s="77">
        <v>14</v>
      </c>
      <c r="W185" s="49"/>
      <c r="X185" s="2">
        <f t="shared" si="134"/>
        <v>0</v>
      </c>
      <c r="Y185" s="2">
        <f t="shared" si="135"/>
        <v>0</v>
      </c>
      <c r="Z185" s="2">
        <f t="shared" si="136"/>
        <v>0.5</v>
      </c>
      <c r="AD185" s="262"/>
      <c r="AE185" s="262"/>
      <c r="AF185" s="262"/>
    </row>
    <row r="186" spans="1:32" ht="12.75" customHeight="1">
      <c r="A186" s="368"/>
      <c r="B186" s="368"/>
      <c r="C186" s="383"/>
      <c r="D186" s="368"/>
      <c r="E186" s="368"/>
      <c r="F186" s="368"/>
      <c r="G186" s="285" t="s">
        <v>136</v>
      </c>
      <c r="H186" s="240" t="s">
        <v>55</v>
      </c>
      <c r="I186" s="29"/>
      <c r="J186" s="240" t="s">
        <v>64</v>
      </c>
      <c r="K186" s="30">
        <f t="shared" si="161"/>
        <v>0.5</v>
      </c>
      <c r="L186" s="30">
        <f t="shared" si="159"/>
        <v>0</v>
      </c>
      <c r="M186" s="29"/>
      <c r="N186" s="29"/>
      <c r="O186" s="287">
        <f t="shared" si="160"/>
        <v>0.5</v>
      </c>
      <c r="P186" s="240"/>
      <c r="Q186" s="240">
        <v>1</v>
      </c>
      <c r="R186" s="49"/>
      <c r="S186" s="49"/>
      <c r="T186" s="25"/>
      <c r="U186" s="363"/>
      <c r="V186" s="77">
        <v>14</v>
      </c>
      <c r="W186" s="49"/>
      <c r="X186" s="2">
        <f t="shared" si="134"/>
        <v>0.5</v>
      </c>
      <c r="Y186" s="2">
        <f t="shared" si="135"/>
        <v>0</v>
      </c>
      <c r="Z186" s="2">
        <f t="shared" si="136"/>
        <v>0</v>
      </c>
      <c r="AD186" s="262"/>
      <c r="AE186" s="262"/>
      <c r="AF186" s="262"/>
    </row>
    <row r="187" spans="1:32" ht="12.75" customHeight="1">
      <c r="A187" s="368"/>
      <c r="B187" s="368"/>
      <c r="C187" s="383"/>
      <c r="D187" s="368"/>
      <c r="E187" s="368"/>
      <c r="F187" s="368"/>
      <c r="G187" s="285" t="s">
        <v>136</v>
      </c>
      <c r="H187" s="240" t="s">
        <v>49</v>
      </c>
      <c r="I187" s="29"/>
      <c r="J187" s="240" t="s">
        <v>64</v>
      </c>
      <c r="K187" s="30">
        <f t="shared" si="161"/>
        <v>0.5</v>
      </c>
      <c r="L187" s="30">
        <f t="shared" si="159"/>
        <v>0</v>
      </c>
      <c r="M187" s="29"/>
      <c r="N187" s="29"/>
      <c r="O187" s="287">
        <f t="shared" si="160"/>
        <v>0.5</v>
      </c>
      <c r="P187" s="240"/>
      <c r="Q187" s="240">
        <v>1</v>
      </c>
      <c r="R187" s="49"/>
      <c r="S187" s="49"/>
      <c r="T187" s="25"/>
      <c r="U187" s="363"/>
      <c r="V187" s="77">
        <v>14</v>
      </c>
      <c r="W187" s="49"/>
      <c r="X187" s="2">
        <f t="shared" si="134"/>
        <v>0</v>
      </c>
      <c r="Y187" s="2">
        <f t="shared" si="135"/>
        <v>0.5</v>
      </c>
      <c r="Z187" s="2">
        <f t="shared" si="136"/>
        <v>0</v>
      </c>
      <c r="AD187" s="262"/>
      <c r="AE187" s="262"/>
      <c r="AF187" s="262"/>
    </row>
    <row r="188" spans="1:32" ht="12.75" customHeight="1">
      <c r="A188" s="368"/>
      <c r="B188" s="368"/>
      <c r="C188" s="383"/>
      <c r="D188" s="368"/>
      <c r="E188" s="368"/>
      <c r="F188" s="368"/>
      <c r="G188" s="285" t="s">
        <v>136</v>
      </c>
      <c r="H188" s="240" t="s">
        <v>138</v>
      </c>
      <c r="I188" s="29"/>
      <c r="J188" s="240" t="s">
        <v>64</v>
      </c>
      <c r="K188" s="30">
        <f t="shared" si="161"/>
        <v>0.5</v>
      </c>
      <c r="L188" s="30">
        <f t="shared" si="159"/>
        <v>0</v>
      </c>
      <c r="M188" s="29"/>
      <c r="N188" s="29"/>
      <c r="O188" s="287">
        <f t="shared" si="160"/>
        <v>0.5</v>
      </c>
      <c r="P188" s="240"/>
      <c r="Q188" s="240">
        <v>1</v>
      </c>
      <c r="R188" s="49"/>
      <c r="S188" s="49"/>
      <c r="T188" s="25"/>
      <c r="U188" s="363"/>
      <c r="V188" s="77">
        <v>14</v>
      </c>
      <c r="W188" s="49"/>
      <c r="X188" s="2">
        <f t="shared" ref="X188" si="165">IF(ISNUMBER(SEARCH("Aut",H188)),K188, 0)</f>
        <v>0</v>
      </c>
      <c r="Y188" s="2">
        <f t="shared" ref="Y188" si="166">IF(ISNUMBER(SEARCH("Tst",H188)),K188, 0)</f>
        <v>0</v>
      </c>
      <c r="Z188" s="2">
        <f t="shared" ref="Z188" si="167">IF(ISNUMBER(SEARCH("Calc",H188)),K188, 0)</f>
        <v>0</v>
      </c>
      <c r="AD188" s="262"/>
      <c r="AE188" s="262"/>
      <c r="AF188" s="262"/>
    </row>
    <row r="189" spans="1:32" ht="12.75" customHeight="1">
      <c r="A189" s="368"/>
      <c r="B189" s="368"/>
      <c r="C189" s="383"/>
      <c r="D189" s="368"/>
      <c r="E189" s="368"/>
      <c r="F189" s="368"/>
      <c r="G189" s="285" t="s">
        <v>136</v>
      </c>
      <c r="H189" s="240" t="s">
        <v>49</v>
      </c>
      <c r="I189" s="29"/>
      <c r="J189" s="240" t="s">
        <v>65</v>
      </c>
      <c r="K189" s="30">
        <f t="shared" si="161"/>
        <v>0.5</v>
      </c>
      <c r="L189" s="30">
        <f t="shared" si="159"/>
        <v>0</v>
      </c>
      <c r="M189" s="29"/>
      <c r="N189" s="29"/>
      <c r="O189" s="30">
        <f t="shared" si="160"/>
        <v>0.5</v>
      </c>
      <c r="P189" s="240"/>
      <c r="Q189" s="240">
        <v>1</v>
      </c>
      <c r="R189" s="49"/>
      <c r="S189" s="49"/>
      <c r="T189" s="25"/>
      <c r="U189" s="363"/>
      <c r="V189" s="77">
        <v>14</v>
      </c>
      <c r="W189" s="49"/>
      <c r="X189" s="2">
        <f t="shared" si="134"/>
        <v>0</v>
      </c>
      <c r="Y189" s="2">
        <f t="shared" si="135"/>
        <v>0.5</v>
      </c>
      <c r="Z189" s="2">
        <f t="shared" si="136"/>
        <v>0</v>
      </c>
      <c r="AD189" s="262"/>
      <c r="AE189" s="262"/>
      <c r="AF189" s="262"/>
    </row>
    <row r="190" spans="1:32" ht="13.5" customHeight="1" thickBot="1">
      <c r="A190" s="368"/>
      <c r="B190" s="368"/>
      <c r="C190" s="383"/>
      <c r="D190" s="368"/>
      <c r="E190" s="368"/>
      <c r="F190" s="368"/>
      <c r="G190" s="285" t="s">
        <v>136</v>
      </c>
      <c r="H190" s="240" t="s">
        <v>55</v>
      </c>
      <c r="I190" s="29"/>
      <c r="J190" s="240" t="s">
        <v>65</v>
      </c>
      <c r="K190" s="30">
        <f t="shared" si="158"/>
        <v>0.5</v>
      </c>
      <c r="L190" s="30">
        <f t="shared" si="159"/>
        <v>0</v>
      </c>
      <c r="M190" s="29"/>
      <c r="N190" s="29"/>
      <c r="O190" s="30">
        <f t="shared" si="160"/>
        <v>0.5</v>
      </c>
      <c r="P190" s="29"/>
      <c r="Q190" s="29">
        <v>1</v>
      </c>
      <c r="R190" s="25"/>
      <c r="S190" s="25"/>
      <c r="T190" s="25"/>
      <c r="U190" s="363"/>
      <c r="V190" s="77">
        <v>14</v>
      </c>
      <c r="W190" s="49"/>
      <c r="X190" s="2">
        <f t="shared" si="134"/>
        <v>0.5</v>
      </c>
      <c r="Y190" s="2">
        <f t="shared" si="135"/>
        <v>0</v>
      </c>
      <c r="Z190" s="2">
        <f t="shared" si="136"/>
        <v>0</v>
      </c>
      <c r="AD190" s="262"/>
      <c r="AE190" s="262"/>
      <c r="AF190" s="262"/>
    </row>
    <row r="191" spans="1:32" ht="12.75" customHeight="1">
      <c r="A191" s="367">
        <v>18</v>
      </c>
      <c r="B191" s="367" t="s">
        <v>155</v>
      </c>
      <c r="C191" s="387"/>
      <c r="D191" s="367" t="s">
        <v>155</v>
      </c>
      <c r="E191" s="367" t="s">
        <v>281</v>
      </c>
      <c r="F191" s="367" t="s">
        <v>15</v>
      </c>
      <c r="G191" s="376"/>
      <c r="H191" s="376"/>
      <c r="I191" s="375"/>
      <c r="J191" s="127">
        <v>16</v>
      </c>
      <c r="K191" s="131">
        <f>SUM(K193:K203)</f>
        <v>12</v>
      </c>
      <c r="L191" s="364">
        <f t="shared" ref="L191:Q191" si="168">SUM(L193:L203)</f>
        <v>4</v>
      </c>
      <c r="M191" s="364">
        <f t="shared" si="168"/>
        <v>2</v>
      </c>
      <c r="N191" s="364">
        <f t="shared" si="168"/>
        <v>2</v>
      </c>
      <c r="O191" s="364">
        <f t="shared" si="168"/>
        <v>8</v>
      </c>
      <c r="P191" s="364">
        <f t="shared" si="168"/>
        <v>10</v>
      </c>
      <c r="Q191" s="365">
        <f t="shared" si="168"/>
        <v>6</v>
      </c>
      <c r="R191" s="128">
        <f>J191-K191</f>
        <v>4</v>
      </c>
      <c r="S191" s="233">
        <f>S192/28</f>
        <v>5</v>
      </c>
      <c r="T191" s="233"/>
      <c r="U191" s="362"/>
      <c r="V191" s="209"/>
      <c r="W191" s="106"/>
      <c r="X191" s="2">
        <f t="shared" si="134"/>
        <v>0</v>
      </c>
      <c r="Y191" s="2">
        <f t="shared" si="135"/>
        <v>0</v>
      </c>
      <c r="Z191" s="2">
        <f t="shared" si="136"/>
        <v>0</v>
      </c>
      <c r="AA191" s="2">
        <f>SUM(X191:X203)</f>
        <v>6</v>
      </c>
      <c r="AB191" s="2">
        <f>SUM(Y191:Y203)</f>
        <v>5</v>
      </c>
      <c r="AC191" s="2">
        <f>SUM(Z191:Z203)</f>
        <v>8</v>
      </c>
      <c r="AD191" s="270">
        <f>AA191/11</f>
        <v>0.54545454545454541</v>
      </c>
      <c r="AE191" s="270">
        <f t="shared" ref="AE191" si="169">AB191/11</f>
        <v>0.45454545454545453</v>
      </c>
      <c r="AF191" s="270">
        <f t="shared" ref="AF191" si="170">AC191/11</f>
        <v>0.72727272727272729</v>
      </c>
    </row>
    <row r="192" spans="1:32" ht="13.5" customHeight="1" thickBot="1">
      <c r="A192" s="368"/>
      <c r="B192" s="368"/>
      <c r="C192" s="383"/>
      <c r="D192" s="368"/>
      <c r="E192" s="368"/>
      <c r="F192" s="368"/>
      <c r="G192" s="370"/>
      <c r="H192" s="371"/>
      <c r="I192" s="373"/>
      <c r="J192" s="129">
        <v>448</v>
      </c>
      <c r="K192" s="132">
        <f>K191*28</f>
        <v>336</v>
      </c>
      <c r="L192" s="361"/>
      <c r="M192" s="361"/>
      <c r="N192" s="361"/>
      <c r="O192" s="361"/>
      <c r="P192" s="361"/>
      <c r="Q192" s="366"/>
      <c r="R192" s="126">
        <f>J192-K192</f>
        <v>112</v>
      </c>
      <c r="S192" s="108">
        <f>SUM(S193:S202)</f>
        <v>140</v>
      </c>
      <c r="T192" s="16"/>
      <c r="U192" s="363"/>
      <c r="V192" s="77"/>
      <c r="W192" s="49"/>
      <c r="X192" s="2">
        <f t="shared" si="134"/>
        <v>0</v>
      </c>
      <c r="Y192" s="2">
        <f t="shared" si="135"/>
        <v>0</v>
      </c>
      <c r="Z192" s="2">
        <f t="shared" si="136"/>
        <v>0</v>
      </c>
      <c r="AD192" s="262"/>
      <c r="AE192" s="262"/>
      <c r="AF192" s="262"/>
    </row>
    <row r="193" spans="1:32" ht="25.5" customHeight="1">
      <c r="A193" s="368"/>
      <c r="B193" s="368"/>
      <c r="C193" s="383"/>
      <c r="D193" s="368"/>
      <c r="E193" s="368"/>
      <c r="F193" s="368"/>
      <c r="G193" s="285" t="s">
        <v>253</v>
      </c>
      <c r="H193" s="240" t="s">
        <v>172</v>
      </c>
      <c r="I193" s="29"/>
      <c r="J193" s="299" t="s">
        <v>252</v>
      </c>
      <c r="K193" s="287">
        <f>L193+O193</f>
        <v>2</v>
      </c>
      <c r="L193" s="287">
        <f t="shared" ref="L193:L200" si="171">IF(I193="m",(M193+N193)*2.5*V193/28,(M193+N193)*2*V193/28)</f>
        <v>2</v>
      </c>
      <c r="M193" s="288"/>
      <c r="N193" s="288">
        <v>2</v>
      </c>
      <c r="O193" s="287">
        <f t="shared" ref="O193:O200" si="172">IF(I193="m",(P193+Q193)*1.5*V193/28,(P193+Q193)*1*V193/28)</f>
        <v>0</v>
      </c>
      <c r="P193" s="288"/>
      <c r="Q193" s="288"/>
      <c r="R193" s="25" t="s">
        <v>234</v>
      </c>
      <c r="S193" s="25">
        <v>45</v>
      </c>
      <c r="T193" s="25"/>
      <c r="U193" s="363"/>
      <c r="V193" s="77">
        <v>14</v>
      </c>
      <c r="W193" s="49"/>
      <c r="X193" s="2">
        <f t="shared" si="134"/>
        <v>2</v>
      </c>
      <c r="Y193" s="2">
        <f t="shared" si="135"/>
        <v>2</v>
      </c>
      <c r="Z193" s="2">
        <f t="shared" si="136"/>
        <v>2</v>
      </c>
      <c r="AD193" s="262"/>
      <c r="AE193" s="262"/>
      <c r="AF193" s="262"/>
    </row>
    <row r="194" spans="1:32" ht="25.5" customHeight="1">
      <c r="A194" s="368"/>
      <c r="B194" s="368"/>
      <c r="C194" s="383"/>
      <c r="D194" s="368"/>
      <c r="E194" s="368"/>
      <c r="F194" s="368"/>
      <c r="G194" s="285" t="s">
        <v>173</v>
      </c>
      <c r="H194" s="240" t="s">
        <v>125</v>
      </c>
      <c r="I194" s="29"/>
      <c r="J194" s="240" t="s">
        <v>216</v>
      </c>
      <c r="K194" s="30">
        <f t="shared" ref="K194:K203" si="173">L194+O194</f>
        <v>2</v>
      </c>
      <c r="L194" s="287">
        <f t="shared" si="171"/>
        <v>2</v>
      </c>
      <c r="M194" s="29">
        <v>2</v>
      </c>
      <c r="N194" s="29"/>
      <c r="O194" s="287">
        <f t="shared" si="172"/>
        <v>0</v>
      </c>
      <c r="P194" s="29"/>
      <c r="Q194" s="29"/>
      <c r="R194" s="25" t="s">
        <v>38</v>
      </c>
      <c r="S194" s="25">
        <v>95</v>
      </c>
      <c r="T194" s="25"/>
      <c r="U194" s="363"/>
      <c r="V194" s="77">
        <v>14</v>
      </c>
      <c r="W194" s="49"/>
      <c r="X194" s="2">
        <f t="shared" si="134"/>
        <v>2</v>
      </c>
      <c r="Y194" s="2">
        <f t="shared" si="135"/>
        <v>2</v>
      </c>
      <c r="Z194" s="2">
        <f t="shared" si="136"/>
        <v>2</v>
      </c>
      <c r="AD194" s="262"/>
      <c r="AE194" s="262"/>
      <c r="AF194" s="262"/>
    </row>
    <row r="195" spans="1:32" ht="25.5" customHeight="1">
      <c r="A195" s="368"/>
      <c r="B195" s="368"/>
      <c r="C195" s="383"/>
      <c r="D195" s="368"/>
      <c r="E195" s="368"/>
      <c r="F195" s="368"/>
      <c r="G195" s="285" t="s">
        <v>254</v>
      </c>
      <c r="H195" s="240" t="s">
        <v>61</v>
      </c>
      <c r="I195" s="29"/>
      <c r="J195" s="240" t="s">
        <v>126</v>
      </c>
      <c r="K195" s="30">
        <f t="shared" si="173"/>
        <v>1</v>
      </c>
      <c r="L195" s="287">
        <f t="shared" si="171"/>
        <v>0</v>
      </c>
      <c r="M195" s="29"/>
      <c r="N195" s="29"/>
      <c r="O195" s="287">
        <f t="shared" si="172"/>
        <v>1</v>
      </c>
      <c r="P195" s="29"/>
      <c r="Q195" s="29">
        <v>2</v>
      </c>
      <c r="R195" s="25"/>
      <c r="S195" s="25"/>
      <c r="T195" s="25"/>
      <c r="U195" s="363"/>
      <c r="V195" s="77">
        <v>14</v>
      </c>
      <c r="W195" s="49"/>
      <c r="X195" s="2">
        <f t="shared" si="134"/>
        <v>0</v>
      </c>
      <c r="Y195" s="2">
        <f t="shared" si="135"/>
        <v>0</v>
      </c>
      <c r="Z195" s="2">
        <f t="shared" si="136"/>
        <v>1</v>
      </c>
      <c r="AD195" s="262"/>
      <c r="AE195" s="262"/>
      <c r="AF195" s="262"/>
    </row>
    <row r="196" spans="1:32" ht="25.5" customHeight="1">
      <c r="A196" s="368"/>
      <c r="B196" s="368"/>
      <c r="C196" s="383"/>
      <c r="D196" s="368"/>
      <c r="E196" s="368"/>
      <c r="F196" s="368"/>
      <c r="G196" s="285" t="s">
        <v>253</v>
      </c>
      <c r="H196" s="240" t="s">
        <v>61</v>
      </c>
      <c r="I196" s="29"/>
      <c r="J196" s="240" t="s">
        <v>126</v>
      </c>
      <c r="K196" s="30">
        <f t="shared" si="173"/>
        <v>1</v>
      </c>
      <c r="L196" s="287">
        <f t="shared" si="171"/>
        <v>0</v>
      </c>
      <c r="M196" s="29"/>
      <c r="N196" s="29"/>
      <c r="O196" s="287">
        <f t="shared" si="172"/>
        <v>1</v>
      </c>
      <c r="P196" s="29"/>
      <c r="Q196" s="29">
        <v>2</v>
      </c>
      <c r="R196" s="25"/>
      <c r="S196" s="25"/>
      <c r="T196" s="25"/>
      <c r="U196" s="363"/>
      <c r="V196" s="77">
        <v>14</v>
      </c>
      <c r="W196" s="49"/>
      <c r="X196" s="2">
        <f t="shared" si="134"/>
        <v>0</v>
      </c>
      <c r="Y196" s="2">
        <f t="shared" si="135"/>
        <v>0</v>
      </c>
      <c r="Z196" s="2">
        <f t="shared" si="136"/>
        <v>1</v>
      </c>
      <c r="AD196" s="262"/>
      <c r="AE196" s="262"/>
      <c r="AF196" s="262"/>
    </row>
    <row r="197" spans="1:32" ht="25.5" customHeight="1">
      <c r="A197" s="368"/>
      <c r="B197" s="368"/>
      <c r="C197" s="383"/>
      <c r="D197" s="368"/>
      <c r="E197" s="368"/>
      <c r="F197" s="368"/>
      <c r="G197" s="285" t="s">
        <v>119</v>
      </c>
      <c r="H197" s="240" t="s">
        <v>61</v>
      </c>
      <c r="I197" s="29"/>
      <c r="J197" s="240" t="s">
        <v>147</v>
      </c>
      <c r="K197" s="30">
        <f>L197+O197</f>
        <v>1</v>
      </c>
      <c r="L197" s="287">
        <f t="shared" si="171"/>
        <v>0</v>
      </c>
      <c r="M197" s="240"/>
      <c r="N197" s="240"/>
      <c r="O197" s="287">
        <f t="shared" si="172"/>
        <v>1</v>
      </c>
      <c r="P197" s="312">
        <v>2</v>
      </c>
      <c r="Q197" s="29"/>
      <c r="R197" s="25"/>
      <c r="S197" s="25"/>
      <c r="T197" s="25"/>
      <c r="U197" s="363"/>
      <c r="V197" s="77">
        <v>14</v>
      </c>
      <c r="W197" s="49"/>
      <c r="X197" s="2">
        <f t="shared" ref="X197" si="174">IF(ISNUMBER(SEARCH("Aut",H197)),K197, 0)</f>
        <v>0</v>
      </c>
      <c r="Y197" s="2">
        <f t="shared" ref="Y197" si="175">IF(ISNUMBER(SEARCH("Tst",H197)),K197, 0)</f>
        <v>0</v>
      </c>
      <c r="Z197" s="2">
        <f t="shared" ref="Z197" si="176">IF(ISNUMBER(SEARCH("Calc",H197)),K197, 0)</f>
        <v>1</v>
      </c>
      <c r="AD197" s="262"/>
      <c r="AE197" s="262"/>
      <c r="AF197" s="262"/>
    </row>
    <row r="198" spans="1:32" ht="25.5" customHeight="1">
      <c r="A198" s="368"/>
      <c r="B198" s="368"/>
      <c r="C198" s="383"/>
      <c r="D198" s="368"/>
      <c r="E198" s="368"/>
      <c r="F198" s="368"/>
      <c r="G198" s="285" t="s">
        <v>253</v>
      </c>
      <c r="H198" s="240" t="s">
        <v>177</v>
      </c>
      <c r="I198" s="29"/>
      <c r="J198" s="240" t="s">
        <v>147</v>
      </c>
      <c r="K198" s="30">
        <f>L198+O198</f>
        <v>1</v>
      </c>
      <c r="L198" s="30">
        <f t="shared" si="171"/>
        <v>0</v>
      </c>
      <c r="M198" s="29"/>
      <c r="N198" s="29"/>
      <c r="O198" s="287">
        <f t="shared" si="172"/>
        <v>1</v>
      </c>
      <c r="P198" s="240"/>
      <c r="Q198" s="240">
        <v>2</v>
      </c>
      <c r="R198" s="16"/>
      <c r="S198" s="49"/>
      <c r="T198" s="25"/>
      <c r="U198" s="363"/>
      <c r="V198" s="77">
        <v>14</v>
      </c>
      <c r="W198" s="49"/>
      <c r="X198" s="2">
        <f t="shared" si="134"/>
        <v>0</v>
      </c>
      <c r="Y198" s="2">
        <f t="shared" si="135"/>
        <v>0</v>
      </c>
      <c r="Z198" s="2">
        <f t="shared" si="136"/>
        <v>0</v>
      </c>
      <c r="AD198" s="262"/>
      <c r="AE198" s="262"/>
      <c r="AF198" s="262"/>
    </row>
    <row r="199" spans="1:32" ht="25.5" customHeight="1">
      <c r="A199" s="368"/>
      <c r="B199" s="368"/>
      <c r="C199" s="383"/>
      <c r="D199" s="368"/>
      <c r="E199" s="368"/>
      <c r="F199" s="368"/>
      <c r="G199" s="285" t="s">
        <v>249</v>
      </c>
      <c r="H199" s="240" t="s">
        <v>55</v>
      </c>
      <c r="I199" s="29"/>
      <c r="J199" s="240" t="s">
        <v>126</v>
      </c>
      <c r="K199" s="30">
        <f t="shared" si="173"/>
        <v>1</v>
      </c>
      <c r="L199" s="30">
        <f t="shared" si="171"/>
        <v>0</v>
      </c>
      <c r="M199" s="29"/>
      <c r="N199" s="29"/>
      <c r="O199" s="30">
        <f t="shared" si="172"/>
        <v>1</v>
      </c>
      <c r="P199" s="29">
        <v>2</v>
      </c>
      <c r="Q199" s="29"/>
      <c r="R199" s="25"/>
      <c r="S199" s="25"/>
      <c r="T199" s="25"/>
      <c r="U199" s="363"/>
      <c r="V199" s="77">
        <v>14</v>
      </c>
      <c r="W199" s="49"/>
      <c r="X199" s="2">
        <f t="shared" si="134"/>
        <v>1</v>
      </c>
      <c r="Y199" s="2">
        <f t="shared" si="135"/>
        <v>0</v>
      </c>
      <c r="Z199" s="2">
        <f t="shared" si="136"/>
        <v>0</v>
      </c>
      <c r="AD199" s="262"/>
      <c r="AE199" s="262"/>
      <c r="AF199" s="262"/>
    </row>
    <row r="200" spans="1:32" ht="25.5" customHeight="1">
      <c r="A200" s="368"/>
      <c r="B200" s="368"/>
      <c r="C200" s="383"/>
      <c r="D200" s="368"/>
      <c r="E200" s="368"/>
      <c r="F200" s="368"/>
      <c r="G200" s="285" t="s">
        <v>173</v>
      </c>
      <c r="H200" s="240" t="s">
        <v>55</v>
      </c>
      <c r="I200" s="29"/>
      <c r="J200" s="240" t="s">
        <v>126</v>
      </c>
      <c r="K200" s="30">
        <f t="shared" si="173"/>
        <v>1</v>
      </c>
      <c r="L200" s="30">
        <f t="shared" si="171"/>
        <v>0</v>
      </c>
      <c r="M200" s="29"/>
      <c r="N200" s="29"/>
      <c r="O200" s="30">
        <f t="shared" si="172"/>
        <v>1</v>
      </c>
      <c r="P200" s="29">
        <v>2</v>
      </c>
      <c r="Q200" s="29"/>
      <c r="R200" s="49"/>
      <c r="S200" s="49"/>
      <c r="T200" s="25"/>
      <c r="U200" s="363"/>
      <c r="V200" s="77">
        <v>14</v>
      </c>
      <c r="W200" s="49"/>
      <c r="X200" s="2">
        <f t="shared" si="134"/>
        <v>1</v>
      </c>
      <c r="Y200" s="2">
        <f t="shared" si="135"/>
        <v>0</v>
      </c>
      <c r="Z200" s="2">
        <f t="shared" si="136"/>
        <v>0</v>
      </c>
      <c r="AD200" s="262"/>
      <c r="AE200" s="262"/>
      <c r="AF200" s="262"/>
    </row>
    <row r="201" spans="1:32" ht="25.5" customHeight="1">
      <c r="A201" s="368"/>
      <c r="B201" s="368"/>
      <c r="C201" s="383"/>
      <c r="D201" s="368"/>
      <c r="E201" s="368"/>
      <c r="F201" s="368"/>
      <c r="G201" s="285" t="s">
        <v>249</v>
      </c>
      <c r="H201" s="240" t="s">
        <v>61</v>
      </c>
      <c r="I201" s="29"/>
      <c r="J201" s="240" t="s">
        <v>126</v>
      </c>
      <c r="K201" s="30">
        <f>L201+O201</f>
        <v>1</v>
      </c>
      <c r="L201" s="30">
        <f>IF(I201="m",(M201+N201)*2.5*V202/28,(M201+N201)*2*V202/28)</f>
        <v>0</v>
      </c>
      <c r="M201" s="29"/>
      <c r="N201" s="29"/>
      <c r="O201" s="30">
        <f>IF(I201="m",(P201+Q201)*1.5*V202/28,(P201+Q201)*1*V202/28)</f>
        <v>1</v>
      </c>
      <c r="P201" s="29">
        <v>2</v>
      </c>
      <c r="Q201" s="29"/>
      <c r="R201" s="49"/>
      <c r="S201" s="49"/>
      <c r="T201" s="25"/>
      <c r="U201" s="363"/>
      <c r="V201" s="77">
        <v>14</v>
      </c>
      <c r="W201" s="49"/>
      <c r="X201" s="2">
        <f t="shared" si="134"/>
        <v>0</v>
      </c>
      <c r="Y201" s="2">
        <f t="shared" si="135"/>
        <v>0</v>
      </c>
      <c r="Z201" s="2">
        <f t="shared" si="136"/>
        <v>1</v>
      </c>
      <c r="AD201" s="262"/>
      <c r="AE201" s="262"/>
      <c r="AF201" s="262"/>
    </row>
    <row r="202" spans="1:32" ht="25.5" customHeight="1">
      <c r="A202" s="368"/>
      <c r="B202" s="368"/>
      <c r="C202" s="383"/>
      <c r="D202" s="368"/>
      <c r="E202" s="368"/>
      <c r="F202" s="368"/>
      <c r="G202" s="285" t="s">
        <v>249</v>
      </c>
      <c r="H202" s="290" t="s">
        <v>49</v>
      </c>
      <c r="I202" s="29"/>
      <c r="J202" s="290" t="s">
        <v>147</v>
      </c>
      <c r="K202" s="310">
        <f>L202+O202</f>
        <v>0.5</v>
      </c>
      <c r="L202" s="30">
        <f>IF(I202="m",(M202+N202)*2.5*V203/28,(M202+N202)*2*V203/28)</f>
        <v>0</v>
      </c>
      <c r="M202" s="29"/>
      <c r="N202" s="29"/>
      <c r="O202" s="30">
        <f>IF(I202="m",(P202+Q202)*1.5*V203/28,(P202+Q202)*1*V203/28)</f>
        <v>0.5</v>
      </c>
      <c r="P202" s="290">
        <v>1</v>
      </c>
      <c r="Q202" s="291"/>
      <c r="R202" s="25"/>
      <c r="S202" s="25"/>
      <c r="T202" s="25"/>
      <c r="U202" s="363"/>
      <c r="V202" s="77">
        <v>14</v>
      </c>
      <c r="W202" s="49"/>
      <c r="X202" s="2">
        <f t="shared" si="134"/>
        <v>0</v>
      </c>
      <c r="Y202" s="2">
        <f t="shared" si="135"/>
        <v>0.5</v>
      </c>
      <c r="Z202" s="2">
        <f t="shared" si="136"/>
        <v>0</v>
      </c>
      <c r="AD202" s="262"/>
      <c r="AE202" s="262"/>
      <c r="AF202" s="262"/>
    </row>
    <row r="203" spans="1:32" ht="26.25" customHeight="1" thickBot="1">
      <c r="A203" s="380"/>
      <c r="B203" s="380"/>
      <c r="C203" s="394"/>
      <c r="D203" s="380"/>
      <c r="E203" s="380"/>
      <c r="F203" s="380"/>
      <c r="G203" s="285" t="s">
        <v>173</v>
      </c>
      <c r="H203" s="290" t="s">
        <v>49</v>
      </c>
      <c r="I203" s="29"/>
      <c r="J203" s="290" t="s">
        <v>147</v>
      </c>
      <c r="K203" s="30">
        <f t="shared" si="173"/>
        <v>0.5</v>
      </c>
      <c r="L203" s="30">
        <f>IF(I203="m",(M203+N203)*2.5*V288/28,(M203+N203)*2*V288/28)</f>
        <v>0</v>
      </c>
      <c r="M203" s="29"/>
      <c r="N203" s="29"/>
      <c r="O203" s="30">
        <f>IF(I203="m",(P203+Q203)*1.5*V288/28,(P203+Q203)*1*V288/28)</f>
        <v>0.5</v>
      </c>
      <c r="P203" s="290">
        <v>1</v>
      </c>
      <c r="Q203" s="291"/>
      <c r="R203" s="110"/>
      <c r="S203" s="110"/>
      <c r="T203" s="110"/>
      <c r="U203" s="378"/>
      <c r="V203" s="210">
        <v>14</v>
      </c>
      <c r="W203" s="107"/>
      <c r="X203" s="2">
        <f t="shared" si="134"/>
        <v>0</v>
      </c>
      <c r="Y203" s="2">
        <f t="shared" si="135"/>
        <v>0.5</v>
      </c>
      <c r="Z203" s="2">
        <f t="shared" si="136"/>
        <v>0</v>
      </c>
      <c r="AD203" s="262"/>
      <c r="AE203" s="262"/>
      <c r="AF203" s="262"/>
    </row>
    <row r="204" spans="1:32" ht="14.25" customHeight="1">
      <c r="A204" s="367">
        <v>19</v>
      </c>
      <c r="B204" s="367" t="s">
        <v>155</v>
      </c>
      <c r="C204" s="387"/>
      <c r="D204" s="367" t="s">
        <v>155</v>
      </c>
      <c r="E204" s="367" t="s">
        <v>240</v>
      </c>
      <c r="F204" s="367" t="s">
        <v>15</v>
      </c>
      <c r="G204" s="376"/>
      <c r="H204" s="376"/>
      <c r="I204" s="375"/>
      <c r="J204" s="127">
        <v>16</v>
      </c>
      <c r="K204" s="131">
        <f>SUM(K206:K213)</f>
        <v>12</v>
      </c>
      <c r="L204" s="364">
        <f t="shared" ref="L204:Q204" si="177">SUM(L206:L213)</f>
        <v>4</v>
      </c>
      <c r="M204" s="364">
        <f t="shared" si="177"/>
        <v>2</v>
      </c>
      <c r="N204" s="364">
        <f t="shared" si="177"/>
        <v>2</v>
      </c>
      <c r="O204" s="364">
        <f t="shared" si="177"/>
        <v>8</v>
      </c>
      <c r="P204" s="364">
        <f t="shared" si="177"/>
        <v>2</v>
      </c>
      <c r="Q204" s="365">
        <f t="shared" si="177"/>
        <v>14</v>
      </c>
      <c r="R204" s="128">
        <f>J204-K204</f>
        <v>4</v>
      </c>
      <c r="S204" s="233">
        <f>S205/28</f>
        <v>5</v>
      </c>
      <c r="T204" s="233"/>
      <c r="U204" s="362"/>
      <c r="V204" s="209"/>
      <c r="W204" s="106"/>
      <c r="X204" s="2">
        <f t="shared" si="134"/>
        <v>0</v>
      </c>
      <c r="Y204" s="2">
        <f t="shared" si="135"/>
        <v>0</v>
      </c>
      <c r="Z204" s="2">
        <f t="shared" si="136"/>
        <v>0</v>
      </c>
      <c r="AA204" s="2">
        <f>SUM(X204:X213)</f>
        <v>4</v>
      </c>
      <c r="AB204" s="2">
        <f>SUM(Y204:Y213)</f>
        <v>3</v>
      </c>
      <c r="AC204" s="2">
        <f>SUM(Z204:Z213)</f>
        <v>4</v>
      </c>
      <c r="AD204" s="270">
        <f t="shared" ref="AD204" si="178">AA204/11</f>
        <v>0.36363636363636365</v>
      </c>
      <c r="AE204" s="270">
        <f t="shared" ref="AE204" si="179">AB204/11</f>
        <v>0.27272727272727271</v>
      </c>
      <c r="AF204" s="270">
        <f t="shared" ref="AF204" si="180">AC204/11</f>
        <v>0.36363636363636365</v>
      </c>
    </row>
    <row r="205" spans="1:32" ht="15" customHeight="1" thickBot="1">
      <c r="A205" s="368"/>
      <c r="B205" s="368"/>
      <c r="C205" s="383"/>
      <c r="D205" s="368"/>
      <c r="E205" s="368"/>
      <c r="F205" s="368"/>
      <c r="G205" s="370"/>
      <c r="H205" s="371"/>
      <c r="I205" s="373"/>
      <c r="J205" s="129">
        <v>448</v>
      </c>
      <c r="K205" s="132">
        <f>K204*28</f>
        <v>336</v>
      </c>
      <c r="L205" s="361"/>
      <c r="M205" s="361"/>
      <c r="N205" s="361"/>
      <c r="O205" s="361"/>
      <c r="P205" s="361"/>
      <c r="Q205" s="366"/>
      <c r="R205" s="126">
        <f>J205-K205</f>
        <v>112</v>
      </c>
      <c r="S205" s="108">
        <f>SUM(S206:S213)</f>
        <v>140</v>
      </c>
      <c r="T205" s="16"/>
      <c r="U205" s="363"/>
      <c r="V205" s="77"/>
      <c r="W205" s="49"/>
      <c r="X205" s="2">
        <f t="shared" si="134"/>
        <v>0</v>
      </c>
      <c r="Y205" s="2">
        <f t="shared" si="135"/>
        <v>0</v>
      </c>
      <c r="Z205" s="2">
        <f t="shared" si="136"/>
        <v>0</v>
      </c>
      <c r="AD205" s="262"/>
      <c r="AE205" s="262"/>
      <c r="AF205" s="262"/>
    </row>
    <row r="206" spans="1:32" ht="25.5" customHeight="1">
      <c r="A206" s="368"/>
      <c r="B206" s="368"/>
      <c r="C206" s="383"/>
      <c r="D206" s="368"/>
      <c r="E206" s="368"/>
      <c r="F206" s="368"/>
      <c r="G206" s="285" t="s">
        <v>174</v>
      </c>
      <c r="H206" s="240" t="s">
        <v>175</v>
      </c>
      <c r="I206" s="29"/>
      <c r="J206" s="240" t="s">
        <v>216</v>
      </c>
      <c r="K206" s="287">
        <f t="shared" ref="K206:K213" si="181">L206+O206</f>
        <v>2</v>
      </c>
      <c r="L206" s="287">
        <f t="shared" ref="L206:L213" si="182">IF(I206="m",(M206+N206)*2.5*V206/28,(M206+N206)*2*V206/28)</f>
        <v>2</v>
      </c>
      <c r="M206" s="288"/>
      <c r="N206" s="288">
        <v>2</v>
      </c>
      <c r="O206" s="287">
        <f t="shared" ref="O206:O213" si="183">IF(I206="m",(P206+Q206)*1.5*V206/28,(P206+Q206)*1*V206/28)</f>
        <v>0</v>
      </c>
      <c r="P206" s="288"/>
      <c r="Q206" s="288"/>
      <c r="R206" s="25" t="s">
        <v>39</v>
      </c>
      <c r="S206" s="25">
        <v>95</v>
      </c>
      <c r="T206" s="25"/>
      <c r="U206" s="363"/>
      <c r="V206" s="77">
        <v>14</v>
      </c>
      <c r="W206" s="49"/>
      <c r="X206" s="2">
        <f t="shared" si="134"/>
        <v>2</v>
      </c>
      <c r="Y206" s="2">
        <f t="shared" si="135"/>
        <v>2</v>
      </c>
      <c r="Z206" s="2">
        <f t="shared" si="136"/>
        <v>2</v>
      </c>
      <c r="AD206" s="262"/>
      <c r="AE206" s="262"/>
      <c r="AF206" s="262"/>
    </row>
    <row r="207" spans="1:32" ht="12.75" customHeight="1">
      <c r="A207" s="368"/>
      <c r="B207" s="368"/>
      <c r="C207" s="383"/>
      <c r="D207" s="368"/>
      <c r="E207" s="368"/>
      <c r="F207" s="368"/>
      <c r="G207" s="305" t="s">
        <v>176</v>
      </c>
      <c r="H207" s="240" t="s">
        <v>177</v>
      </c>
      <c r="I207" s="29"/>
      <c r="J207" s="240" t="s">
        <v>17</v>
      </c>
      <c r="K207" s="287">
        <f>L207+O207</f>
        <v>2</v>
      </c>
      <c r="L207" s="287">
        <f t="shared" si="182"/>
        <v>2</v>
      </c>
      <c r="M207" s="288">
        <v>2</v>
      </c>
      <c r="N207" s="288"/>
      <c r="O207" s="287">
        <f t="shared" si="183"/>
        <v>0</v>
      </c>
      <c r="P207" s="288"/>
      <c r="Q207" s="288"/>
      <c r="R207" s="25" t="s">
        <v>234</v>
      </c>
      <c r="S207" s="25">
        <v>45</v>
      </c>
      <c r="T207" s="25"/>
      <c r="U207" s="363"/>
      <c r="V207" s="77">
        <v>14</v>
      </c>
      <c r="W207" s="49"/>
      <c r="X207" s="2">
        <f t="shared" si="134"/>
        <v>0</v>
      </c>
      <c r="Y207" s="2">
        <f t="shared" si="135"/>
        <v>0</v>
      </c>
      <c r="Z207" s="2">
        <f t="shared" si="136"/>
        <v>0</v>
      </c>
      <c r="AD207" s="262"/>
      <c r="AE207" s="262"/>
      <c r="AF207" s="262"/>
    </row>
    <row r="208" spans="1:32" ht="12.75" customHeight="1">
      <c r="A208" s="368"/>
      <c r="B208" s="368"/>
      <c r="C208" s="383"/>
      <c r="D208" s="368"/>
      <c r="E208" s="368"/>
      <c r="F208" s="368"/>
      <c r="G208" s="305" t="s">
        <v>176</v>
      </c>
      <c r="H208" s="240" t="s">
        <v>177</v>
      </c>
      <c r="I208" s="29"/>
      <c r="J208" s="240" t="s">
        <v>135</v>
      </c>
      <c r="K208" s="287">
        <f>L208+O208</f>
        <v>1</v>
      </c>
      <c r="L208" s="287">
        <f t="shared" si="182"/>
        <v>0</v>
      </c>
      <c r="M208" s="288"/>
      <c r="N208" s="288"/>
      <c r="O208" s="287">
        <f t="shared" si="183"/>
        <v>1</v>
      </c>
      <c r="P208" s="288">
        <v>2</v>
      </c>
      <c r="Q208" s="288"/>
      <c r="R208" s="25"/>
      <c r="S208" s="25"/>
      <c r="T208" s="25"/>
      <c r="U208" s="363"/>
      <c r="V208" s="77">
        <v>14</v>
      </c>
      <c r="W208" s="49"/>
      <c r="X208" s="2">
        <f t="shared" si="134"/>
        <v>0</v>
      </c>
      <c r="Y208" s="2">
        <f t="shared" si="135"/>
        <v>0</v>
      </c>
      <c r="Z208" s="2">
        <f t="shared" si="136"/>
        <v>0</v>
      </c>
      <c r="AD208" s="262"/>
      <c r="AE208" s="262"/>
      <c r="AF208" s="262"/>
    </row>
    <row r="209" spans="1:32" ht="25.5" customHeight="1">
      <c r="A209" s="368"/>
      <c r="B209" s="368"/>
      <c r="C209" s="383"/>
      <c r="D209" s="368"/>
      <c r="E209" s="368"/>
      <c r="F209" s="368"/>
      <c r="G209" s="285" t="s">
        <v>174</v>
      </c>
      <c r="H209" s="240" t="s">
        <v>61</v>
      </c>
      <c r="I209" s="29"/>
      <c r="J209" s="240" t="s">
        <v>126</v>
      </c>
      <c r="K209" s="30">
        <f t="shared" si="181"/>
        <v>2</v>
      </c>
      <c r="L209" s="287">
        <f t="shared" si="182"/>
        <v>0</v>
      </c>
      <c r="M209" s="29"/>
      <c r="N209" s="29"/>
      <c r="O209" s="287">
        <f t="shared" si="183"/>
        <v>2</v>
      </c>
      <c r="P209" s="29"/>
      <c r="Q209" s="29">
        <v>4</v>
      </c>
      <c r="R209" s="16"/>
      <c r="S209" s="25"/>
      <c r="T209" s="25"/>
      <c r="U209" s="363"/>
      <c r="V209" s="77">
        <v>14</v>
      </c>
      <c r="W209" s="49"/>
      <c r="X209" s="2">
        <f t="shared" si="134"/>
        <v>0</v>
      </c>
      <c r="Y209" s="2">
        <f t="shared" si="135"/>
        <v>0</v>
      </c>
      <c r="Z209" s="2">
        <f t="shared" si="136"/>
        <v>2</v>
      </c>
      <c r="AD209" s="262"/>
      <c r="AE209" s="262"/>
      <c r="AF209" s="262"/>
    </row>
    <row r="210" spans="1:32" ht="25.5" customHeight="1">
      <c r="A210" s="368"/>
      <c r="B210" s="368"/>
      <c r="C210" s="383"/>
      <c r="D210" s="368"/>
      <c r="E210" s="368"/>
      <c r="F210" s="368"/>
      <c r="G210" s="285" t="s">
        <v>174</v>
      </c>
      <c r="H210" s="240" t="s">
        <v>55</v>
      </c>
      <c r="I210" s="29"/>
      <c r="J210" s="240" t="s">
        <v>126</v>
      </c>
      <c r="K210" s="30">
        <f t="shared" si="181"/>
        <v>2</v>
      </c>
      <c r="L210" s="287">
        <f t="shared" si="182"/>
        <v>0</v>
      </c>
      <c r="M210" s="29"/>
      <c r="N210" s="29"/>
      <c r="O210" s="287">
        <f t="shared" si="183"/>
        <v>2</v>
      </c>
      <c r="P210" s="29"/>
      <c r="Q210" s="29">
        <v>4</v>
      </c>
      <c r="R210" s="16"/>
      <c r="S210" s="25"/>
      <c r="T210" s="25"/>
      <c r="U210" s="363"/>
      <c r="V210" s="77">
        <v>14</v>
      </c>
      <c r="W210" s="49"/>
      <c r="X210" s="2">
        <f t="shared" si="134"/>
        <v>2</v>
      </c>
      <c r="Y210" s="2">
        <f t="shared" si="135"/>
        <v>0</v>
      </c>
      <c r="Z210" s="2">
        <f t="shared" si="136"/>
        <v>0</v>
      </c>
      <c r="AD210" s="262"/>
      <c r="AE210" s="262"/>
      <c r="AF210" s="262"/>
    </row>
    <row r="211" spans="1:32" ht="25.5" customHeight="1">
      <c r="A211" s="368"/>
      <c r="B211" s="368"/>
      <c r="C211" s="383"/>
      <c r="D211" s="368"/>
      <c r="E211" s="368"/>
      <c r="F211" s="368"/>
      <c r="G211" s="285" t="s">
        <v>174</v>
      </c>
      <c r="H211" s="240" t="s">
        <v>138</v>
      </c>
      <c r="I211" s="29"/>
      <c r="J211" s="240" t="s">
        <v>147</v>
      </c>
      <c r="K211" s="30">
        <f>L211+O211</f>
        <v>1</v>
      </c>
      <c r="L211" s="287">
        <f t="shared" si="182"/>
        <v>0</v>
      </c>
      <c r="M211" s="29"/>
      <c r="N211" s="29"/>
      <c r="O211" s="287">
        <f t="shared" si="183"/>
        <v>1</v>
      </c>
      <c r="P211" s="29"/>
      <c r="Q211" s="29">
        <v>2</v>
      </c>
      <c r="R211" s="16"/>
      <c r="S211" s="25"/>
      <c r="T211" s="25"/>
      <c r="U211" s="363"/>
      <c r="V211" s="77">
        <v>14</v>
      </c>
      <c r="W211" s="49"/>
      <c r="X211" s="2">
        <f t="shared" ref="X211" si="184">IF(ISNUMBER(SEARCH("Aut",H211)),K211, 0)</f>
        <v>0</v>
      </c>
      <c r="Y211" s="2">
        <f t="shared" ref="Y211" si="185">IF(ISNUMBER(SEARCH("Tst",H211)),K211, 0)</f>
        <v>0</v>
      </c>
      <c r="Z211" s="2">
        <f t="shared" ref="Z211" si="186">IF(ISNUMBER(SEARCH("Calc",H211)),K211, 0)</f>
        <v>0</v>
      </c>
      <c r="AD211" s="262"/>
      <c r="AE211" s="262"/>
      <c r="AF211" s="262"/>
    </row>
    <row r="212" spans="1:32" ht="25.5" customHeight="1">
      <c r="A212" s="368"/>
      <c r="B212" s="368"/>
      <c r="C212" s="383"/>
      <c r="D212" s="368"/>
      <c r="E212" s="368"/>
      <c r="F212" s="368"/>
      <c r="G212" s="285" t="s">
        <v>174</v>
      </c>
      <c r="H212" s="313" t="s">
        <v>138</v>
      </c>
      <c r="I212" s="29"/>
      <c r="J212" s="313" t="s">
        <v>147</v>
      </c>
      <c r="K212" s="30">
        <f t="shared" si="181"/>
        <v>1</v>
      </c>
      <c r="L212" s="30">
        <f t="shared" si="182"/>
        <v>0</v>
      </c>
      <c r="M212" s="29"/>
      <c r="N212" s="29"/>
      <c r="O212" s="30">
        <f t="shared" si="183"/>
        <v>1</v>
      </c>
      <c r="P212" s="29"/>
      <c r="Q212" s="29">
        <v>2</v>
      </c>
      <c r="R212" s="16"/>
      <c r="S212" s="25"/>
      <c r="T212" s="25"/>
      <c r="U212" s="363"/>
      <c r="V212" s="77">
        <v>14</v>
      </c>
      <c r="W212" s="49"/>
      <c r="X212" s="2">
        <f t="shared" si="134"/>
        <v>0</v>
      </c>
      <c r="Y212" s="2">
        <f t="shared" si="135"/>
        <v>0</v>
      </c>
      <c r="Z212" s="2">
        <f t="shared" si="136"/>
        <v>0</v>
      </c>
      <c r="AD212" s="262"/>
      <c r="AE212" s="262"/>
      <c r="AF212" s="262"/>
    </row>
    <row r="213" spans="1:32" ht="26.25" customHeight="1" thickBot="1">
      <c r="A213" s="368"/>
      <c r="B213" s="368"/>
      <c r="C213" s="383"/>
      <c r="D213" s="368"/>
      <c r="E213" s="368"/>
      <c r="F213" s="368"/>
      <c r="G213" s="285" t="s">
        <v>174</v>
      </c>
      <c r="H213" s="240" t="s">
        <v>49</v>
      </c>
      <c r="I213" s="29"/>
      <c r="J213" s="240" t="s">
        <v>147</v>
      </c>
      <c r="K213" s="30">
        <f t="shared" si="181"/>
        <v>1</v>
      </c>
      <c r="L213" s="30">
        <f t="shared" si="182"/>
        <v>0</v>
      </c>
      <c r="M213" s="29"/>
      <c r="N213" s="29"/>
      <c r="O213" s="30">
        <f t="shared" si="183"/>
        <v>1</v>
      </c>
      <c r="P213" s="29"/>
      <c r="Q213" s="29">
        <v>2</v>
      </c>
      <c r="R213" s="49"/>
      <c r="S213" s="49"/>
      <c r="T213" s="25"/>
      <c r="U213" s="363"/>
      <c r="V213" s="77">
        <v>14</v>
      </c>
      <c r="W213" s="49"/>
      <c r="X213" s="2">
        <f t="shared" si="134"/>
        <v>0</v>
      </c>
      <c r="Y213" s="2">
        <f t="shared" si="135"/>
        <v>1</v>
      </c>
      <c r="Z213" s="2">
        <f t="shared" si="136"/>
        <v>0</v>
      </c>
      <c r="AD213" s="262"/>
      <c r="AE213" s="262"/>
      <c r="AF213" s="262"/>
    </row>
    <row r="214" spans="1:32" ht="12.75" customHeight="1">
      <c r="A214" s="367">
        <v>20</v>
      </c>
      <c r="B214" s="367" t="s">
        <v>155</v>
      </c>
      <c r="C214" s="387"/>
      <c r="D214" s="367" t="s">
        <v>155</v>
      </c>
      <c r="E214" s="367" t="s">
        <v>256</v>
      </c>
      <c r="F214" s="367" t="s">
        <v>15</v>
      </c>
      <c r="G214" s="376"/>
      <c r="H214" s="376"/>
      <c r="I214" s="375"/>
      <c r="J214" s="127">
        <v>16</v>
      </c>
      <c r="K214" s="131">
        <f>SUM(K216:K222)</f>
        <v>12</v>
      </c>
      <c r="L214" s="364">
        <f>SUM(L216:L222)</f>
        <v>3</v>
      </c>
      <c r="M214" s="364">
        <f t="shared" ref="M214:Q214" si="187">SUM(M216:M222)</f>
        <v>3</v>
      </c>
      <c r="N214" s="364">
        <f t="shared" si="187"/>
        <v>0</v>
      </c>
      <c r="O214" s="364">
        <f t="shared" si="187"/>
        <v>9</v>
      </c>
      <c r="P214" s="364">
        <f t="shared" si="187"/>
        <v>12</v>
      </c>
      <c r="Q214" s="365">
        <f t="shared" si="187"/>
        <v>6</v>
      </c>
      <c r="R214" s="128">
        <f>J214-K214</f>
        <v>4</v>
      </c>
      <c r="S214" s="233">
        <f>S215/28</f>
        <v>1.7857142857142858</v>
      </c>
      <c r="T214" s="233"/>
      <c r="U214" s="362"/>
      <c r="V214" s="209"/>
      <c r="W214" s="106"/>
      <c r="X214" s="2">
        <f t="shared" si="134"/>
        <v>0</v>
      </c>
      <c r="Y214" s="2">
        <f>IF(ISNUMBER(SEARCH("Tst",H214)),K214, 0)</f>
        <v>0</v>
      </c>
      <c r="Z214" s="2">
        <f>IF(ISNUMBER(SEARCH("Calc",H214)),K214, 0)</f>
        <v>0</v>
      </c>
      <c r="AA214" s="2">
        <f>SUM(X214:X222)</f>
        <v>0</v>
      </c>
      <c r="AB214" s="2">
        <f>SUM(Y214:Y222)</f>
        <v>2</v>
      </c>
      <c r="AC214" s="2">
        <f>SUM(Z214:Z222)</f>
        <v>5</v>
      </c>
      <c r="AD214" s="270">
        <f t="shared" ref="AD214" si="188">AA214/11</f>
        <v>0</v>
      </c>
      <c r="AE214" s="270">
        <f t="shared" ref="AE214" si="189">AB214/11</f>
        <v>0.18181818181818182</v>
      </c>
      <c r="AF214" s="270">
        <f t="shared" ref="AF214" si="190">AC214/11</f>
        <v>0.45454545454545453</v>
      </c>
    </row>
    <row r="215" spans="1:32" ht="13.5" customHeight="1" thickBot="1">
      <c r="A215" s="368"/>
      <c r="B215" s="368"/>
      <c r="C215" s="383"/>
      <c r="D215" s="368"/>
      <c r="E215" s="368"/>
      <c r="F215" s="368"/>
      <c r="G215" s="370"/>
      <c r="H215" s="371"/>
      <c r="I215" s="373"/>
      <c r="J215" s="129">
        <v>448</v>
      </c>
      <c r="K215" s="132">
        <f>K214*28</f>
        <v>336</v>
      </c>
      <c r="L215" s="361"/>
      <c r="M215" s="361"/>
      <c r="N215" s="361"/>
      <c r="O215" s="361"/>
      <c r="P215" s="361"/>
      <c r="Q215" s="366"/>
      <c r="R215" s="126">
        <f>J215-K215</f>
        <v>112</v>
      </c>
      <c r="S215" s="108">
        <f>SUM(S216:S222)</f>
        <v>50</v>
      </c>
      <c r="T215" s="16"/>
      <c r="U215" s="363"/>
      <c r="V215" s="77"/>
      <c r="W215" s="49"/>
      <c r="X215" s="2">
        <f t="shared" si="134"/>
        <v>0</v>
      </c>
      <c r="Y215" s="2">
        <f t="shared" si="135"/>
        <v>0</v>
      </c>
      <c r="Z215" s="2">
        <f t="shared" si="136"/>
        <v>0</v>
      </c>
      <c r="AD215" s="262"/>
      <c r="AE215" s="262"/>
      <c r="AF215" s="262"/>
    </row>
    <row r="216" spans="1:32" ht="12.75" customHeight="1">
      <c r="A216" s="368"/>
      <c r="B216" s="368"/>
      <c r="C216" s="383"/>
      <c r="D216" s="368"/>
      <c r="E216" s="368"/>
      <c r="F216" s="368"/>
      <c r="G216" s="285" t="s">
        <v>178</v>
      </c>
      <c r="H216" s="307" t="s">
        <v>61</v>
      </c>
      <c r="I216" s="29"/>
      <c r="J216" s="286" t="s">
        <v>24</v>
      </c>
      <c r="K216" s="287">
        <f t="shared" ref="K216:K222" si="191">L216+O216</f>
        <v>2</v>
      </c>
      <c r="L216" s="287">
        <f t="shared" ref="L216:L222" si="192">IF(I216="m",(M216+N216)*2.5*V216/28,(M216+N216)*2*V216/28)</f>
        <v>2</v>
      </c>
      <c r="M216" s="288">
        <v>2</v>
      </c>
      <c r="N216" s="288"/>
      <c r="O216" s="287">
        <f t="shared" ref="O216:O222" si="193">IF(I216="m",(P216+Q216)*1.5*V216/28,(P216+Q216)*1*V216/28)</f>
        <v>0</v>
      </c>
      <c r="P216" s="288"/>
      <c r="Q216" s="288"/>
      <c r="R216" s="25" t="s">
        <v>234</v>
      </c>
      <c r="S216" s="25">
        <v>15</v>
      </c>
      <c r="T216" s="25"/>
      <c r="U216" s="363"/>
      <c r="V216" s="77">
        <v>14</v>
      </c>
      <c r="W216" s="49"/>
      <c r="X216" s="2">
        <f t="shared" si="134"/>
        <v>0</v>
      </c>
      <c r="Y216" s="2">
        <f t="shared" si="135"/>
        <v>0</v>
      </c>
      <c r="Z216" s="2">
        <f t="shared" si="136"/>
        <v>2</v>
      </c>
      <c r="AD216" s="262"/>
      <c r="AE216" s="262"/>
      <c r="AF216" s="262"/>
    </row>
    <row r="217" spans="1:32" ht="12.75" customHeight="1">
      <c r="A217" s="368"/>
      <c r="B217" s="368"/>
      <c r="C217" s="383"/>
      <c r="D217" s="368"/>
      <c r="E217" s="368"/>
      <c r="F217" s="368"/>
      <c r="G217" s="285" t="s">
        <v>178</v>
      </c>
      <c r="H217" s="291" t="s">
        <v>61</v>
      </c>
      <c r="I217" s="29"/>
      <c r="J217" s="291" t="s">
        <v>127</v>
      </c>
      <c r="K217" s="30">
        <f t="shared" si="191"/>
        <v>2</v>
      </c>
      <c r="L217" s="287">
        <f t="shared" si="192"/>
        <v>0</v>
      </c>
      <c r="M217" s="29"/>
      <c r="N217" s="29"/>
      <c r="O217" s="287">
        <f t="shared" si="193"/>
        <v>2</v>
      </c>
      <c r="P217" s="29">
        <v>4</v>
      </c>
      <c r="Q217" s="29"/>
      <c r="R217" s="1" t="s">
        <v>38</v>
      </c>
      <c r="S217" s="25">
        <v>35</v>
      </c>
      <c r="T217" s="25"/>
      <c r="U217" s="363"/>
      <c r="V217" s="77">
        <v>14</v>
      </c>
      <c r="W217" s="49"/>
      <c r="X217" s="2">
        <f t="shared" si="134"/>
        <v>0</v>
      </c>
      <c r="Y217" s="2">
        <f t="shared" si="135"/>
        <v>0</v>
      </c>
      <c r="Z217" s="2">
        <f t="shared" si="136"/>
        <v>2</v>
      </c>
      <c r="AD217" s="262"/>
      <c r="AE217" s="262"/>
      <c r="AF217" s="262"/>
    </row>
    <row r="218" spans="1:32" ht="12.75" customHeight="1">
      <c r="A218" s="368"/>
      <c r="B218" s="368"/>
      <c r="C218" s="383"/>
      <c r="D218" s="368"/>
      <c r="E218" s="368"/>
      <c r="F218" s="368"/>
      <c r="G218" s="285" t="s">
        <v>258</v>
      </c>
      <c r="H218" s="314" t="s">
        <v>177</v>
      </c>
      <c r="I218" s="315"/>
      <c r="J218" s="314" t="s">
        <v>130</v>
      </c>
      <c r="K218" s="30">
        <f t="shared" si="191"/>
        <v>2</v>
      </c>
      <c r="L218" s="287">
        <f t="shared" si="192"/>
        <v>0</v>
      </c>
      <c r="M218" s="315"/>
      <c r="N218" s="315"/>
      <c r="O218" s="287">
        <f t="shared" si="193"/>
        <v>2</v>
      </c>
      <c r="P218" s="315"/>
      <c r="Q218" s="315">
        <v>4</v>
      </c>
      <c r="R218" s="250"/>
      <c r="S218" s="25"/>
      <c r="T218" s="25"/>
      <c r="U218" s="363"/>
      <c r="V218" s="77">
        <v>14</v>
      </c>
      <c r="W218" s="49"/>
      <c r="X218" s="2">
        <f t="shared" si="134"/>
        <v>0</v>
      </c>
      <c r="Y218" s="2">
        <f t="shared" si="135"/>
        <v>0</v>
      </c>
      <c r="Z218" s="2">
        <f t="shared" si="136"/>
        <v>0</v>
      </c>
      <c r="AD218" s="262"/>
      <c r="AE218" s="262"/>
      <c r="AF218" s="262"/>
    </row>
    <row r="219" spans="1:32" ht="25.5" customHeight="1">
      <c r="A219" s="368"/>
      <c r="B219" s="368"/>
      <c r="C219" s="383"/>
      <c r="D219" s="368"/>
      <c r="E219" s="368"/>
      <c r="F219" s="368"/>
      <c r="G219" s="285" t="s">
        <v>260</v>
      </c>
      <c r="H219" s="314" t="s">
        <v>49</v>
      </c>
      <c r="I219" s="315"/>
      <c r="J219" s="314" t="s">
        <v>17</v>
      </c>
      <c r="K219" s="30">
        <f t="shared" si="191"/>
        <v>1</v>
      </c>
      <c r="L219" s="287">
        <f t="shared" si="192"/>
        <v>1</v>
      </c>
      <c r="M219" s="314">
        <v>1</v>
      </c>
      <c r="N219" s="315"/>
      <c r="O219" s="287">
        <f t="shared" si="193"/>
        <v>0</v>
      </c>
      <c r="P219" s="315"/>
      <c r="Q219" s="315"/>
      <c r="R219" s="25"/>
      <c r="S219" s="25"/>
      <c r="T219" s="25"/>
      <c r="U219" s="363"/>
      <c r="V219" s="77">
        <v>14</v>
      </c>
      <c r="W219" s="49"/>
      <c r="X219" s="2">
        <f t="shared" si="134"/>
        <v>0</v>
      </c>
      <c r="Y219" s="2">
        <f t="shared" si="135"/>
        <v>1</v>
      </c>
      <c r="Z219" s="2">
        <f t="shared" si="136"/>
        <v>0</v>
      </c>
      <c r="AD219" s="262"/>
      <c r="AE219" s="262"/>
      <c r="AF219" s="262"/>
    </row>
    <row r="220" spans="1:32" ht="25.5" customHeight="1">
      <c r="A220" s="368"/>
      <c r="B220" s="368"/>
      <c r="C220" s="383"/>
      <c r="D220" s="368"/>
      <c r="E220" s="368"/>
      <c r="F220" s="368"/>
      <c r="G220" s="315" t="s">
        <v>258</v>
      </c>
      <c r="H220" s="314" t="s">
        <v>61</v>
      </c>
      <c r="I220" s="315"/>
      <c r="J220" s="314" t="s">
        <v>65</v>
      </c>
      <c r="K220" s="30">
        <f>L220+O220</f>
        <v>1</v>
      </c>
      <c r="L220" s="30">
        <f t="shared" si="192"/>
        <v>0</v>
      </c>
      <c r="M220" s="315"/>
      <c r="N220" s="315"/>
      <c r="O220" s="30">
        <f t="shared" si="193"/>
        <v>1</v>
      </c>
      <c r="P220" s="315"/>
      <c r="Q220" s="315">
        <v>2</v>
      </c>
      <c r="R220" s="25"/>
      <c r="S220" s="25"/>
      <c r="T220" s="25"/>
      <c r="U220" s="363"/>
      <c r="V220" s="77">
        <v>14</v>
      </c>
      <c r="W220" s="49"/>
      <c r="X220" s="2">
        <f t="shared" ref="X220" si="194">IF(ISNUMBER(SEARCH("Aut",H220)),K220, 0)</f>
        <v>0</v>
      </c>
      <c r="Y220" s="2">
        <f t="shared" ref="Y220" si="195">IF(ISNUMBER(SEARCH("Tst",H220)),K220, 0)</f>
        <v>0</v>
      </c>
      <c r="Z220" s="2">
        <f t="shared" ref="Z220" si="196">IF(ISNUMBER(SEARCH("Calc",H220)),K220, 0)</f>
        <v>1</v>
      </c>
      <c r="AD220" s="262"/>
      <c r="AE220" s="262"/>
      <c r="AF220" s="262"/>
    </row>
    <row r="221" spans="1:32" ht="25.5" customHeight="1">
      <c r="A221" s="368"/>
      <c r="B221" s="368"/>
      <c r="C221" s="383"/>
      <c r="D221" s="368"/>
      <c r="E221" s="368"/>
      <c r="F221" s="368"/>
      <c r="G221" s="285" t="s">
        <v>260</v>
      </c>
      <c r="H221" s="314" t="s">
        <v>49</v>
      </c>
      <c r="I221" s="315"/>
      <c r="J221" s="314" t="s">
        <v>135</v>
      </c>
      <c r="K221" s="30">
        <f t="shared" si="191"/>
        <v>1</v>
      </c>
      <c r="L221" s="30">
        <f t="shared" si="192"/>
        <v>0</v>
      </c>
      <c r="M221" s="315"/>
      <c r="N221" s="315"/>
      <c r="O221" s="30">
        <f t="shared" si="193"/>
        <v>1</v>
      </c>
      <c r="P221" s="314">
        <v>2</v>
      </c>
      <c r="Q221" s="315"/>
      <c r="R221" s="25"/>
      <c r="S221" s="25"/>
      <c r="T221" s="25"/>
      <c r="U221" s="363"/>
      <c r="V221" s="77">
        <v>14</v>
      </c>
      <c r="W221" s="49"/>
      <c r="X221" s="2">
        <f t="shared" si="134"/>
        <v>0</v>
      </c>
      <c r="Y221" s="2">
        <f t="shared" si="135"/>
        <v>1</v>
      </c>
      <c r="Z221" s="2">
        <f t="shared" si="136"/>
        <v>0</v>
      </c>
      <c r="AD221" s="262"/>
      <c r="AE221" s="262"/>
      <c r="AF221" s="262"/>
    </row>
    <row r="222" spans="1:32" ht="13.5" customHeight="1" thickBot="1">
      <c r="A222" s="368"/>
      <c r="B222" s="368"/>
      <c r="C222" s="383"/>
      <c r="D222" s="368"/>
      <c r="E222" s="368"/>
      <c r="F222" s="368"/>
      <c r="G222" s="293" t="s">
        <v>259</v>
      </c>
      <c r="H222" s="316" t="s">
        <v>177</v>
      </c>
      <c r="I222" s="317"/>
      <c r="J222" s="316" t="s">
        <v>199</v>
      </c>
      <c r="K222" s="296">
        <f t="shared" si="191"/>
        <v>3</v>
      </c>
      <c r="L222" s="296">
        <f t="shared" si="192"/>
        <v>0</v>
      </c>
      <c r="M222" s="317"/>
      <c r="N222" s="317"/>
      <c r="O222" s="296">
        <f t="shared" si="193"/>
        <v>3</v>
      </c>
      <c r="P222" s="316">
        <v>6</v>
      </c>
      <c r="Q222" s="317"/>
      <c r="R222" s="250"/>
      <c r="S222" s="25"/>
      <c r="T222" s="25"/>
      <c r="U222" s="363"/>
      <c r="V222" s="77">
        <v>14</v>
      </c>
      <c r="W222" s="49"/>
      <c r="X222" s="2">
        <f t="shared" si="134"/>
        <v>0</v>
      </c>
      <c r="Y222" s="2">
        <f t="shared" si="135"/>
        <v>0</v>
      </c>
      <c r="Z222" s="2">
        <f t="shared" si="136"/>
        <v>0</v>
      </c>
      <c r="AD222" s="262"/>
      <c r="AE222" s="262"/>
      <c r="AF222" s="262"/>
    </row>
    <row r="223" spans="1:32" ht="12.75" customHeight="1">
      <c r="A223" s="367">
        <v>21</v>
      </c>
      <c r="B223" s="367" t="s">
        <v>155</v>
      </c>
      <c r="C223" s="387"/>
      <c r="D223" s="367" t="s">
        <v>155</v>
      </c>
      <c r="E223" s="367" t="s">
        <v>240</v>
      </c>
      <c r="F223" s="367" t="s">
        <v>15</v>
      </c>
      <c r="G223" s="369"/>
      <c r="H223" s="369"/>
      <c r="I223" s="372"/>
      <c r="J223" s="244">
        <v>16</v>
      </c>
      <c r="K223" s="245">
        <f t="shared" ref="K223:Q223" si="197">SUM(K225:K231)</f>
        <v>11</v>
      </c>
      <c r="L223" s="360">
        <f t="shared" si="197"/>
        <v>6</v>
      </c>
      <c r="M223" s="360">
        <f t="shared" si="197"/>
        <v>2</v>
      </c>
      <c r="N223" s="360">
        <f t="shared" si="197"/>
        <v>4</v>
      </c>
      <c r="O223" s="360">
        <f t="shared" si="197"/>
        <v>5</v>
      </c>
      <c r="P223" s="360">
        <f t="shared" si="197"/>
        <v>0</v>
      </c>
      <c r="Q223" s="379">
        <f t="shared" si="197"/>
        <v>10</v>
      </c>
      <c r="R223" s="128">
        <f>J223-K223</f>
        <v>5</v>
      </c>
      <c r="S223" s="233">
        <f>S224/28</f>
        <v>5</v>
      </c>
      <c r="T223" s="233"/>
      <c r="U223" s="362"/>
      <c r="V223" s="209"/>
      <c r="W223" s="106"/>
      <c r="X223" s="2">
        <f t="shared" si="134"/>
        <v>0</v>
      </c>
      <c r="Y223" s="2">
        <f t="shared" si="135"/>
        <v>0</v>
      </c>
      <c r="Z223" s="2">
        <f t="shared" si="136"/>
        <v>0</v>
      </c>
      <c r="AA223" s="2">
        <f>SUM(X223:X231)</f>
        <v>4</v>
      </c>
      <c r="AB223" s="2">
        <f>SUM(Y223:Y231)</f>
        <v>5</v>
      </c>
      <c r="AC223" s="2">
        <f>SUM(Z223:Z231)</f>
        <v>4</v>
      </c>
      <c r="AD223" s="270">
        <f t="shared" ref="AD223:AD242" si="198">AA223/11</f>
        <v>0.36363636363636365</v>
      </c>
      <c r="AE223" s="270">
        <f t="shared" ref="AE223:AE242" si="199">AB223/11</f>
        <v>0.45454545454545453</v>
      </c>
      <c r="AF223" s="270">
        <f t="shared" ref="AF223:AF242" si="200">AC223/11</f>
        <v>0.36363636363636365</v>
      </c>
    </row>
    <row r="224" spans="1:32" ht="13.5" customHeight="1" thickBot="1">
      <c r="A224" s="368"/>
      <c r="B224" s="368"/>
      <c r="C224" s="383"/>
      <c r="D224" s="368"/>
      <c r="E224" s="368"/>
      <c r="F224" s="368"/>
      <c r="G224" s="370"/>
      <c r="H224" s="371"/>
      <c r="I224" s="373"/>
      <c r="J224" s="129">
        <v>448</v>
      </c>
      <c r="K224" s="132">
        <f>K223*28</f>
        <v>308</v>
      </c>
      <c r="L224" s="361"/>
      <c r="M224" s="361"/>
      <c r="N224" s="361"/>
      <c r="O224" s="361"/>
      <c r="P224" s="361"/>
      <c r="Q224" s="366"/>
      <c r="R224" s="126">
        <f>J224-K224</f>
        <v>140</v>
      </c>
      <c r="S224" s="108">
        <f>SUM(S225:S231)</f>
        <v>140</v>
      </c>
      <c r="T224" s="16"/>
      <c r="U224" s="363"/>
      <c r="V224" s="77"/>
      <c r="W224" s="49"/>
      <c r="X224" s="2">
        <f t="shared" si="134"/>
        <v>0</v>
      </c>
      <c r="Y224" s="2">
        <f t="shared" si="135"/>
        <v>0</v>
      </c>
      <c r="Z224" s="2">
        <f t="shared" si="136"/>
        <v>0</v>
      </c>
      <c r="AD224" s="270"/>
      <c r="AE224" s="270"/>
      <c r="AF224" s="270"/>
    </row>
    <row r="225" spans="1:32" ht="12.75" customHeight="1">
      <c r="A225" s="368"/>
      <c r="B225" s="368"/>
      <c r="C225" s="383"/>
      <c r="D225" s="368"/>
      <c r="E225" s="368"/>
      <c r="F225" s="368"/>
      <c r="G225" s="305" t="s">
        <v>179</v>
      </c>
      <c r="H225" s="291" t="s">
        <v>49</v>
      </c>
      <c r="I225" s="29"/>
      <c r="J225" s="291" t="s">
        <v>18</v>
      </c>
      <c r="K225" s="30">
        <f t="shared" ref="K225:K231" si="201">L225+O225</f>
        <v>2</v>
      </c>
      <c r="L225" s="30">
        <f t="shared" ref="L225:L231" si="202">IF(I225="m",(M225+N225)*2.5*V225/28,(M225+N225)*2*V225/28)</f>
        <v>2</v>
      </c>
      <c r="M225" s="29"/>
      <c r="N225" s="29">
        <v>2</v>
      </c>
      <c r="O225" s="30">
        <f t="shared" ref="O225:O231" si="203">IF(I225="m",(P225+Q225)*1.5*V225/28,(P225+Q225)*1*V225/28)</f>
        <v>0</v>
      </c>
      <c r="P225" s="29"/>
      <c r="Q225" s="29"/>
      <c r="R225" s="25" t="s">
        <v>39</v>
      </c>
      <c r="S225" s="25">
        <v>95</v>
      </c>
      <c r="T225" s="25"/>
      <c r="U225" s="363"/>
      <c r="V225" s="77">
        <v>14</v>
      </c>
      <c r="W225" s="49"/>
      <c r="X225" s="2">
        <f t="shared" si="134"/>
        <v>0</v>
      </c>
      <c r="Y225" s="2">
        <f t="shared" si="135"/>
        <v>2</v>
      </c>
      <c r="Z225" s="2">
        <f t="shared" si="136"/>
        <v>0</v>
      </c>
      <c r="AD225" s="270"/>
      <c r="AE225" s="270"/>
      <c r="AF225" s="270"/>
    </row>
    <row r="226" spans="1:32" ht="12.75" customHeight="1">
      <c r="A226" s="368"/>
      <c r="B226" s="368"/>
      <c r="C226" s="383"/>
      <c r="D226" s="368"/>
      <c r="E226" s="368"/>
      <c r="F226" s="368"/>
      <c r="G226" s="305" t="s">
        <v>180</v>
      </c>
      <c r="H226" s="240" t="s">
        <v>49</v>
      </c>
      <c r="I226" s="29"/>
      <c r="J226" s="240" t="s">
        <v>23</v>
      </c>
      <c r="K226" s="30">
        <f t="shared" si="201"/>
        <v>2</v>
      </c>
      <c r="L226" s="30">
        <f t="shared" si="202"/>
        <v>2</v>
      </c>
      <c r="M226" s="29">
        <v>2</v>
      </c>
      <c r="N226" s="29"/>
      <c r="O226" s="30">
        <f t="shared" si="203"/>
        <v>0</v>
      </c>
      <c r="P226" s="29"/>
      <c r="Q226" s="29"/>
      <c r="R226" s="25" t="s">
        <v>234</v>
      </c>
      <c r="S226" s="25">
        <v>45</v>
      </c>
      <c r="T226" s="25"/>
      <c r="U226" s="363"/>
      <c r="V226" s="77">
        <v>14</v>
      </c>
      <c r="W226" s="49"/>
      <c r="X226" s="2">
        <f t="shared" si="134"/>
        <v>0</v>
      </c>
      <c r="Y226" s="2">
        <f t="shared" si="135"/>
        <v>2</v>
      </c>
      <c r="Z226" s="2">
        <f t="shared" si="136"/>
        <v>0</v>
      </c>
      <c r="AD226" s="270"/>
      <c r="AE226" s="270"/>
      <c r="AF226" s="270"/>
    </row>
    <row r="227" spans="1:32" ht="38.25" customHeight="1">
      <c r="A227" s="368"/>
      <c r="B227" s="368"/>
      <c r="C227" s="383"/>
      <c r="D227" s="368"/>
      <c r="E227" s="368"/>
      <c r="F227" s="368"/>
      <c r="G227" s="285" t="s">
        <v>181</v>
      </c>
      <c r="H227" s="240" t="s">
        <v>159</v>
      </c>
      <c r="I227" s="29"/>
      <c r="J227" s="240" t="s">
        <v>53</v>
      </c>
      <c r="K227" s="30">
        <f t="shared" si="201"/>
        <v>2</v>
      </c>
      <c r="L227" s="30">
        <f t="shared" si="202"/>
        <v>2</v>
      </c>
      <c r="M227" s="29"/>
      <c r="N227" s="29">
        <v>2</v>
      </c>
      <c r="O227" s="30">
        <f t="shared" si="203"/>
        <v>0</v>
      </c>
      <c r="P227" s="29"/>
      <c r="Q227" s="29"/>
      <c r="R227" s="49"/>
      <c r="S227" s="49"/>
      <c r="T227" s="25"/>
      <c r="U227" s="363"/>
      <c r="V227" s="77">
        <v>14</v>
      </c>
      <c r="W227" s="49"/>
      <c r="X227" s="2">
        <f t="shared" ref="X227:X261" si="204">IF(ISNUMBER(SEARCH("Aut",H227)),K227, 0)</f>
        <v>2</v>
      </c>
      <c r="Y227" s="2">
        <f t="shared" ref="Y227:Y261" si="205">IF(ISNUMBER(SEARCH("Tst",H227)),K227, 0)</f>
        <v>0</v>
      </c>
      <c r="Z227" s="2">
        <f t="shared" ref="Z227:Z261" si="206">IF(ISNUMBER(SEARCH("Calc",H227)),K227, 0)</f>
        <v>2</v>
      </c>
      <c r="AD227" s="270"/>
      <c r="AE227" s="270"/>
      <c r="AF227" s="270"/>
    </row>
    <row r="228" spans="1:32" ht="12.75" customHeight="1">
      <c r="A228" s="368"/>
      <c r="B228" s="368"/>
      <c r="C228" s="383"/>
      <c r="D228" s="368"/>
      <c r="E228" s="368"/>
      <c r="F228" s="368"/>
      <c r="G228" s="305" t="s">
        <v>179</v>
      </c>
      <c r="H228" s="291" t="s">
        <v>49</v>
      </c>
      <c r="I228" s="29"/>
      <c r="J228" s="291" t="s">
        <v>65</v>
      </c>
      <c r="K228" s="30">
        <f>L228+O228</f>
        <v>0.5</v>
      </c>
      <c r="L228" s="30">
        <f>IF(I228="m",(M228+N228)*2.5*V228/28,(M228+N228)*2*V228/28)</f>
        <v>0</v>
      </c>
      <c r="M228" s="288"/>
      <c r="N228" s="288"/>
      <c r="O228" s="30">
        <f t="shared" si="203"/>
        <v>0.5</v>
      </c>
      <c r="P228" s="288"/>
      <c r="Q228" s="288">
        <v>1</v>
      </c>
      <c r="R228" s="49"/>
      <c r="S228" s="49"/>
      <c r="T228" s="25"/>
      <c r="U228" s="363"/>
      <c r="V228" s="77">
        <v>14</v>
      </c>
      <c r="W228" s="49"/>
      <c r="X228" s="2">
        <f t="shared" si="204"/>
        <v>0</v>
      </c>
      <c r="Y228" s="2">
        <f t="shared" si="205"/>
        <v>0.5</v>
      </c>
      <c r="Z228" s="2">
        <f t="shared" si="206"/>
        <v>0</v>
      </c>
      <c r="AD228" s="270"/>
      <c r="AE228" s="270"/>
      <c r="AF228" s="270"/>
    </row>
    <row r="229" spans="1:32" ht="12.75" customHeight="1">
      <c r="A229" s="368"/>
      <c r="B229" s="368"/>
      <c r="C229" s="383"/>
      <c r="D229" s="368"/>
      <c r="E229" s="368"/>
      <c r="F229" s="368"/>
      <c r="G229" s="305" t="s">
        <v>179</v>
      </c>
      <c r="H229" s="291" t="s">
        <v>49</v>
      </c>
      <c r="I229" s="29"/>
      <c r="J229" s="291" t="s">
        <v>64</v>
      </c>
      <c r="K229" s="30">
        <f>L229+O229</f>
        <v>0.5</v>
      </c>
      <c r="L229" s="30">
        <f>IF(I229="m",(M229+N229)*2.5*V229/28,(M229+N229)*2*V229/28)</f>
        <v>0</v>
      </c>
      <c r="M229" s="29"/>
      <c r="N229" s="29"/>
      <c r="O229" s="30">
        <f t="shared" si="203"/>
        <v>0.5</v>
      </c>
      <c r="P229" s="29"/>
      <c r="Q229" s="29">
        <v>1</v>
      </c>
      <c r="R229" s="49"/>
      <c r="S229" s="49"/>
      <c r="T229" s="25"/>
      <c r="U229" s="363"/>
      <c r="V229" s="77">
        <v>14</v>
      </c>
      <c r="W229" s="49"/>
      <c r="X229" s="2">
        <f t="shared" si="204"/>
        <v>0</v>
      </c>
      <c r="Y229" s="2">
        <f t="shared" si="205"/>
        <v>0.5</v>
      </c>
      <c r="Z229" s="2">
        <f t="shared" si="206"/>
        <v>0</v>
      </c>
      <c r="AD229" s="270"/>
      <c r="AE229" s="270"/>
      <c r="AF229" s="270"/>
    </row>
    <row r="230" spans="1:32" ht="38.25" customHeight="1">
      <c r="A230" s="368"/>
      <c r="B230" s="368"/>
      <c r="C230" s="383"/>
      <c r="D230" s="368"/>
      <c r="E230" s="368"/>
      <c r="F230" s="368"/>
      <c r="G230" s="285" t="s">
        <v>181</v>
      </c>
      <c r="H230" s="240" t="s">
        <v>55</v>
      </c>
      <c r="I230" s="29"/>
      <c r="J230" s="240" t="s">
        <v>126</v>
      </c>
      <c r="K230" s="30">
        <f t="shared" si="201"/>
        <v>2</v>
      </c>
      <c r="L230" s="30">
        <f t="shared" si="202"/>
        <v>0</v>
      </c>
      <c r="M230" s="29"/>
      <c r="N230" s="29"/>
      <c r="O230" s="30">
        <f t="shared" si="203"/>
        <v>2</v>
      </c>
      <c r="P230" s="29"/>
      <c r="Q230" s="29">
        <v>4</v>
      </c>
      <c r="R230" s="25"/>
      <c r="S230" s="25"/>
      <c r="T230" s="25"/>
      <c r="U230" s="363"/>
      <c r="V230" s="77">
        <v>14</v>
      </c>
      <c r="W230" s="49"/>
      <c r="X230" s="2">
        <f t="shared" si="204"/>
        <v>2</v>
      </c>
      <c r="Y230" s="2">
        <f t="shared" si="205"/>
        <v>0</v>
      </c>
      <c r="Z230" s="2">
        <f t="shared" si="206"/>
        <v>0</v>
      </c>
      <c r="AD230" s="270"/>
      <c r="AE230" s="270"/>
      <c r="AF230" s="270"/>
    </row>
    <row r="231" spans="1:32" ht="39" customHeight="1" thickBot="1">
      <c r="A231" s="368"/>
      <c r="B231" s="368"/>
      <c r="C231" s="383"/>
      <c r="D231" s="368"/>
      <c r="E231" s="368"/>
      <c r="F231" s="368"/>
      <c r="G231" s="285" t="s">
        <v>181</v>
      </c>
      <c r="H231" s="240" t="s">
        <v>61</v>
      </c>
      <c r="I231" s="29"/>
      <c r="J231" s="240" t="s">
        <v>126</v>
      </c>
      <c r="K231" s="30">
        <f t="shared" si="201"/>
        <v>2</v>
      </c>
      <c r="L231" s="30">
        <f t="shared" si="202"/>
        <v>0</v>
      </c>
      <c r="M231" s="29"/>
      <c r="N231" s="29"/>
      <c r="O231" s="30">
        <f t="shared" si="203"/>
        <v>2</v>
      </c>
      <c r="P231" s="29"/>
      <c r="Q231" s="29">
        <v>4</v>
      </c>
      <c r="R231" s="49"/>
      <c r="S231" s="49"/>
      <c r="T231" s="25"/>
      <c r="U231" s="363"/>
      <c r="V231" s="77">
        <v>14</v>
      </c>
      <c r="W231" s="49"/>
      <c r="X231" s="2">
        <f t="shared" si="204"/>
        <v>0</v>
      </c>
      <c r="Y231" s="2">
        <f t="shared" si="205"/>
        <v>0</v>
      </c>
      <c r="Z231" s="2">
        <f t="shared" si="206"/>
        <v>2</v>
      </c>
      <c r="AD231" s="270"/>
      <c r="AE231" s="270"/>
      <c r="AF231" s="270"/>
    </row>
    <row r="232" spans="1:32" ht="12.75" customHeight="1">
      <c r="A232" s="367">
        <v>22</v>
      </c>
      <c r="B232" s="367" t="s">
        <v>155</v>
      </c>
      <c r="C232" s="387"/>
      <c r="D232" s="367" t="s">
        <v>155</v>
      </c>
      <c r="E232" s="367" t="s">
        <v>257</v>
      </c>
      <c r="F232" s="367" t="s">
        <v>15</v>
      </c>
      <c r="G232" s="376"/>
      <c r="H232" s="376"/>
      <c r="I232" s="375"/>
      <c r="J232" s="127">
        <v>16</v>
      </c>
      <c r="K232" s="131">
        <f t="shared" ref="K232:Q232" si="207">SUM(K234:K241)</f>
        <v>11</v>
      </c>
      <c r="L232" s="364">
        <f t="shared" si="207"/>
        <v>8</v>
      </c>
      <c r="M232" s="364">
        <f t="shared" si="207"/>
        <v>4</v>
      </c>
      <c r="N232" s="364">
        <f t="shared" si="207"/>
        <v>4</v>
      </c>
      <c r="O232" s="364">
        <f t="shared" si="207"/>
        <v>3</v>
      </c>
      <c r="P232" s="364">
        <f t="shared" si="207"/>
        <v>1</v>
      </c>
      <c r="Q232" s="365">
        <f t="shared" si="207"/>
        <v>5</v>
      </c>
      <c r="R232" s="128">
        <f>J232-K232</f>
        <v>5</v>
      </c>
      <c r="S232" s="233">
        <f>S233/28</f>
        <v>4.5</v>
      </c>
      <c r="T232" s="233"/>
      <c r="U232" s="362"/>
      <c r="V232" s="209"/>
      <c r="W232" s="106"/>
      <c r="X232" s="2">
        <f t="shared" si="204"/>
        <v>0</v>
      </c>
      <c r="Y232" s="2">
        <f t="shared" si="205"/>
        <v>0</v>
      </c>
      <c r="Z232" s="2">
        <f t="shared" si="206"/>
        <v>0</v>
      </c>
      <c r="AA232" s="2">
        <f>SUM(X232:X241)</f>
        <v>0</v>
      </c>
      <c r="AB232" s="2">
        <f>SUM(Y232:Y241)</f>
        <v>11</v>
      </c>
      <c r="AC232" s="2">
        <f>SUM(Z232:Z241)</f>
        <v>0</v>
      </c>
      <c r="AD232" s="270">
        <f t="shared" si="198"/>
        <v>0</v>
      </c>
      <c r="AE232" s="270">
        <f t="shared" si="199"/>
        <v>1</v>
      </c>
      <c r="AF232" s="270">
        <f t="shared" si="200"/>
        <v>0</v>
      </c>
    </row>
    <row r="233" spans="1:32" ht="18" customHeight="1" thickBot="1">
      <c r="A233" s="368"/>
      <c r="B233" s="368"/>
      <c r="C233" s="383"/>
      <c r="D233" s="368"/>
      <c r="E233" s="368"/>
      <c r="F233" s="368"/>
      <c r="G233" s="370"/>
      <c r="H233" s="371"/>
      <c r="I233" s="373"/>
      <c r="J233" s="129">
        <v>448</v>
      </c>
      <c r="K233" s="132">
        <f>K232*28</f>
        <v>308</v>
      </c>
      <c r="L233" s="361"/>
      <c r="M233" s="361"/>
      <c r="N233" s="361"/>
      <c r="O233" s="361"/>
      <c r="P233" s="361"/>
      <c r="Q233" s="366"/>
      <c r="R233" s="126">
        <f>J233-K233</f>
        <v>140</v>
      </c>
      <c r="S233" s="108">
        <f>SUM(S234:S241)</f>
        <v>126</v>
      </c>
      <c r="T233" s="16"/>
      <c r="U233" s="363"/>
      <c r="V233" s="77"/>
      <c r="W233" s="49"/>
      <c r="X233" s="2">
        <f t="shared" si="204"/>
        <v>0</v>
      </c>
      <c r="Y233" s="2">
        <f t="shared" si="205"/>
        <v>0</v>
      </c>
      <c r="Z233" s="2">
        <f t="shared" si="206"/>
        <v>0</v>
      </c>
      <c r="AD233" s="262"/>
      <c r="AE233" s="262"/>
      <c r="AF233" s="262"/>
    </row>
    <row r="234" spans="1:32" ht="25.5">
      <c r="A234" s="368"/>
      <c r="B234" s="368"/>
      <c r="C234" s="383"/>
      <c r="D234" s="368"/>
      <c r="E234" s="368"/>
      <c r="F234" s="368"/>
      <c r="G234" s="329" t="s">
        <v>182</v>
      </c>
      <c r="H234" s="307" t="s">
        <v>49</v>
      </c>
      <c r="I234" s="29"/>
      <c r="J234" s="307" t="s">
        <v>23</v>
      </c>
      <c r="K234" s="287">
        <f>L234+O234</f>
        <v>2</v>
      </c>
      <c r="L234" s="287">
        <f t="shared" ref="L234:L241" si="208">IF(I234="m",(M234+N234)*2.5*V234/28,(M234+N234)*2*V234/28)</f>
        <v>2</v>
      </c>
      <c r="M234" s="288"/>
      <c r="N234" s="288">
        <v>2</v>
      </c>
      <c r="O234" s="287">
        <f t="shared" ref="O234:O241" si="209">IF(I234="m",(P234+Q234)*1.5*V234/28,(P234+Q234)*1*V234/28)</f>
        <v>0</v>
      </c>
      <c r="P234" s="288"/>
      <c r="Q234" s="288"/>
      <c r="R234" s="25" t="s">
        <v>234</v>
      </c>
      <c r="S234" s="25">
        <v>45</v>
      </c>
      <c r="T234" s="25"/>
      <c r="U234" s="363"/>
      <c r="V234" s="77">
        <v>14</v>
      </c>
      <c r="W234" s="49"/>
      <c r="X234" s="2">
        <f t="shared" si="204"/>
        <v>0</v>
      </c>
      <c r="Y234" s="2">
        <f t="shared" si="205"/>
        <v>2</v>
      </c>
      <c r="Z234" s="2">
        <f t="shared" si="206"/>
        <v>0</v>
      </c>
      <c r="AD234" s="262"/>
      <c r="AE234" s="262"/>
      <c r="AF234" s="262"/>
    </row>
    <row r="235" spans="1:32" ht="12.75" customHeight="1">
      <c r="A235" s="368"/>
      <c r="B235" s="368"/>
      <c r="C235" s="383"/>
      <c r="D235" s="368"/>
      <c r="E235" s="368"/>
      <c r="F235" s="368"/>
      <c r="G235" s="305" t="s">
        <v>183</v>
      </c>
      <c r="H235" s="240" t="s">
        <v>49</v>
      </c>
      <c r="I235" s="29"/>
      <c r="J235" s="240" t="s">
        <v>221</v>
      </c>
      <c r="K235" s="30">
        <f t="shared" ref="K235:K241" si="210">L235+O235</f>
        <v>2</v>
      </c>
      <c r="L235" s="30">
        <f t="shared" si="208"/>
        <v>2</v>
      </c>
      <c r="M235" s="29">
        <v>2</v>
      </c>
      <c r="N235" s="29"/>
      <c r="O235" s="30">
        <f t="shared" si="209"/>
        <v>0</v>
      </c>
      <c r="P235" s="29"/>
      <c r="Q235" s="29"/>
      <c r="R235" s="25" t="s">
        <v>39</v>
      </c>
      <c r="S235" s="25">
        <v>63</v>
      </c>
      <c r="T235" s="25"/>
      <c r="U235" s="363"/>
      <c r="V235" s="77">
        <v>14</v>
      </c>
      <c r="W235" s="49"/>
      <c r="X235" s="2">
        <f t="shared" si="204"/>
        <v>0</v>
      </c>
      <c r="Y235" s="2">
        <f t="shared" si="205"/>
        <v>2</v>
      </c>
      <c r="Z235" s="2">
        <f t="shared" si="206"/>
        <v>0</v>
      </c>
      <c r="AD235" s="262"/>
      <c r="AE235" s="262"/>
      <c r="AF235" s="262"/>
    </row>
    <row r="236" spans="1:32" ht="12.75" customHeight="1">
      <c r="A236" s="368"/>
      <c r="B236" s="368"/>
      <c r="C236" s="383"/>
      <c r="D236" s="368"/>
      <c r="E236" s="368"/>
      <c r="F236" s="368"/>
      <c r="G236" s="305" t="s">
        <v>184</v>
      </c>
      <c r="H236" s="240" t="s">
        <v>49</v>
      </c>
      <c r="I236" s="29"/>
      <c r="J236" s="240" t="s">
        <v>24</v>
      </c>
      <c r="K236" s="30">
        <f t="shared" si="210"/>
        <v>2</v>
      </c>
      <c r="L236" s="30">
        <f t="shared" si="208"/>
        <v>2</v>
      </c>
      <c r="M236" s="29">
        <v>2</v>
      </c>
      <c r="N236" s="29"/>
      <c r="O236" s="30">
        <f t="shared" si="209"/>
        <v>0</v>
      </c>
      <c r="P236" s="29"/>
      <c r="Q236" s="29"/>
      <c r="R236" s="25" t="s">
        <v>38</v>
      </c>
      <c r="S236" s="25">
        <v>18</v>
      </c>
      <c r="T236" s="25"/>
      <c r="U236" s="363"/>
      <c r="V236" s="77">
        <v>14</v>
      </c>
      <c r="W236" s="49"/>
      <c r="X236" s="2">
        <f t="shared" si="204"/>
        <v>0</v>
      </c>
      <c r="Y236" s="2">
        <f t="shared" si="205"/>
        <v>2</v>
      </c>
      <c r="Z236" s="2">
        <f t="shared" si="206"/>
        <v>0</v>
      </c>
      <c r="AD236" s="262"/>
      <c r="AE236" s="262"/>
      <c r="AF236" s="262"/>
    </row>
    <row r="237" spans="1:32" ht="12.75" customHeight="1">
      <c r="A237" s="368"/>
      <c r="B237" s="368"/>
      <c r="C237" s="383"/>
      <c r="D237" s="368"/>
      <c r="E237" s="368"/>
      <c r="F237" s="368"/>
      <c r="G237" s="305" t="s">
        <v>185</v>
      </c>
      <c r="H237" s="240" t="s">
        <v>49</v>
      </c>
      <c r="I237" s="29"/>
      <c r="J237" s="240" t="s">
        <v>129</v>
      </c>
      <c r="K237" s="30">
        <f t="shared" si="210"/>
        <v>1</v>
      </c>
      <c r="L237" s="30">
        <f t="shared" si="208"/>
        <v>0</v>
      </c>
      <c r="M237" s="29"/>
      <c r="N237" s="29"/>
      <c r="O237" s="30">
        <f t="shared" si="209"/>
        <v>1</v>
      </c>
      <c r="P237" s="29"/>
      <c r="Q237" s="29">
        <v>2</v>
      </c>
      <c r="S237" s="25"/>
      <c r="T237" s="25"/>
      <c r="U237" s="363"/>
      <c r="V237" s="77">
        <v>14</v>
      </c>
      <c r="W237" s="49"/>
      <c r="X237" s="2">
        <f t="shared" si="204"/>
        <v>0</v>
      </c>
      <c r="Y237" s="2">
        <f t="shared" si="205"/>
        <v>1</v>
      </c>
      <c r="Z237" s="2">
        <f t="shared" si="206"/>
        <v>0</v>
      </c>
      <c r="AD237" s="262"/>
      <c r="AE237" s="262"/>
      <c r="AF237" s="262"/>
    </row>
    <row r="238" spans="1:32" ht="25.5">
      <c r="A238" s="368"/>
      <c r="B238" s="368"/>
      <c r="C238" s="383"/>
      <c r="D238" s="368"/>
      <c r="E238" s="368"/>
      <c r="F238" s="368"/>
      <c r="G238" s="329" t="s">
        <v>182</v>
      </c>
      <c r="H238" s="291" t="s">
        <v>49</v>
      </c>
      <c r="I238" s="29"/>
      <c r="J238" s="291" t="s">
        <v>147</v>
      </c>
      <c r="K238" s="30">
        <f t="shared" si="210"/>
        <v>0.5</v>
      </c>
      <c r="L238" s="30">
        <f t="shared" si="208"/>
        <v>0</v>
      </c>
      <c r="M238" s="29"/>
      <c r="N238" s="29"/>
      <c r="O238" s="30">
        <f t="shared" si="209"/>
        <v>0.5</v>
      </c>
      <c r="P238" s="29"/>
      <c r="Q238" s="29">
        <v>1</v>
      </c>
      <c r="R238" s="49"/>
      <c r="S238" s="49"/>
      <c r="T238" s="25"/>
      <c r="U238" s="363"/>
      <c r="V238" s="77">
        <v>14</v>
      </c>
      <c r="W238" s="49"/>
      <c r="X238" s="2">
        <f t="shared" si="204"/>
        <v>0</v>
      </c>
      <c r="Y238" s="2">
        <f t="shared" si="205"/>
        <v>0.5</v>
      </c>
      <c r="Z238" s="2">
        <f t="shared" si="206"/>
        <v>0</v>
      </c>
      <c r="AD238" s="262"/>
      <c r="AE238" s="262"/>
      <c r="AF238" s="262"/>
    </row>
    <row r="239" spans="1:32" ht="12.75" customHeight="1">
      <c r="A239" s="368"/>
      <c r="B239" s="368"/>
      <c r="C239" s="383"/>
      <c r="D239" s="368"/>
      <c r="E239" s="368"/>
      <c r="F239" s="368"/>
      <c r="G239" s="305" t="s">
        <v>190</v>
      </c>
      <c r="H239" s="291" t="s">
        <v>49</v>
      </c>
      <c r="I239" s="29"/>
      <c r="J239" s="291" t="s">
        <v>147</v>
      </c>
      <c r="K239" s="30">
        <f>L239+O239</f>
        <v>0.5</v>
      </c>
      <c r="L239" s="30">
        <f t="shared" si="208"/>
        <v>0</v>
      </c>
      <c r="M239" s="29"/>
      <c r="N239" s="29"/>
      <c r="O239" s="30">
        <f t="shared" si="209"/>
        <v>0.5</v>
      </c>
      <c r="P239" s="29">
        <v>1</v>
      </c>
      <c r="Q239" s="29"/>
      <c r="R239" s="25"/>
      <c r="S239" s="25"/>
      <c r="T239" s="25"/>
      <c r="U239" s="363"/>
      <c r="V239" s="77">
        <v>14</v>
      </c>
      <c r="W239" s="49"/>
      <c r="X239" s="2">
        <f t="shared" si="204"/>
        <v>0</v>
      </c>
      <c r="Y239" s="2">
        <f t="shared" si="205"/>
        <v>0.5</v>
      </c>
      <c r="Z239" s="2">
        <f t="shared" si="206"/>
        <v>0</v>
      </c>
      <c r="AD239" s="262"/>
      <c r="AE239" s="262"/>
      <c r="AF239" s="262"/>
    </row>
    <row r="240" spans="1:32" ht="12.75" customHeight="1">
      <c r="A240" s="368"/>
      <c r="B240" s="368"/>
      <c r="C240" s="383"/>
      <c r="D240" s="368"/>
      <c r="E240" s="368"/>
      <c r="F240" s="368"/>
      <c r="G240" s="305" t="s">
        <v>186</v>
      </c>
      <c r="H240" s="291" t="s">
        <v>49</v>
      </c>
      <c r="I240" s="29"/>
      <c r="J240" s="291" t="s">
        <v>147</v>
      </c>
      <c r="K240" s="30">
        <f t="shared" si="210"/>
        <v>1</v>
      </c>
      <c r="L240" s="30">
        <f t="shared" si="208"/>
        <v>0</v>
      </c>
      <c r="M240" s="29"/>
      <c r="N240" s="29"/>
      <c r="O240" s="30">
        <f t="shared" si="209"/>
        <v>1</v>
      </c>
      <c r="P240" s="29"/>
      <c r="Q240" s="29">
        <v>2</v>
      </c>
      <c r="R240" s="49"/>
      <c r="S240" s="49"/>
      <c r="T240" s="25"/>
      <c r="U240" s="363"/>
      <c r="V240" s="77">
        <v>14</v>
      </c>
      <c r="W240" s="49"/>
      <c r="X240" s="2">
        <f t="shared" si="204"/>
        <v>0</v>
      </c>
      <c r="Y240" s="2">
        <f t="shared" si="205"/>
        <v>1</v>
      </c>
      <c r="Z240" s="2">
        <f t="shared" si="206"/>
        <v>0</v>
      </c>
      <c r="AD240" s="262"/>
      <c r="AE240" s="262"/>
      <c r="AF240" s="262"/>
    </row>
    <row r="241" spans="1:32" ht="13.5" customHeight="1" thickBot="1">
      <c r="A241" s="368"/>
      <c r="B241" s="368"/>
      <c r="C241" s="383"/>
      <c r="D241" s="368"/>
      <c r="E241" s="368"/>
      <c r="F241" s="368"/>
      <c r="G241" s="305" t="s">
        <v>185</v>
      </c>
      <c r="H241" s="240" t="s">
        <v>49</v>
      </c>
      <c r="I241" s="29"/>
      <c r="J241" s="240" t="s">
        <v>24</v>
      </c>
      <c r="K241" s="30">
        <f t="shared" si="210"/>
        <v>2</v>
      </c>
      <c r="L241" s="30">
        <f t="shared" si="208"/>
        <v>2</v>
      </c>
      <c r="M241" s="29"/>
      <c r="N241" s="29">
        <v>2</v>
      </c>
      <c r="O241" s="30">
        <f t="shared" si="209"/>
        <v>0</v>
      </c>
      <c r="P241" s="29"/>
      <c r="Q241" s="29"/>
      <c r="R241" s="25"/>
      <c r="S241" s="25"/>
      <c r="T241" s="25"/>
      <c r="U241" s="363"/>
      <c r="V241" s="77">
        <v>14</v>
      </c>
      <c r="W241" s="49"/>
      <c r="X241" s="2">
        <f t="shared" si="204"/>
        <v>0</v>
      </c>
      <c r="Y241" s="2">
        <f t="shared" si="205"/>
        <v>2</v>
      </c>
      <c r="Z241" s="2">
        <f t="shared" si="206"/>
        <v>0</v>
      </c>
      <c r="AD241" s="262"/>
      <c r="AE241" s="262"/>
      <c r="AF241" s="262"/>
    </row>
    <row r="242" spans="1:32" ht="12.75" customHeight="1">
      <c r="A242" s="367">
        <v>23</v>
      </c>
      <c r="B242" s="367" t="s">
        <v>155</v>
      </c>
      <c r="C242" s="387"/>
      <c r="D242" s="367" t="s">
        <v>155</v>
      </c>
      <c r="E242" s="367" t="s">
        <v>240</v>
      </c>
      <c r="F242" s="367" t="s">
        <v>15</v>
      </c>
      <c r="G242" s="376"/>
      <c r="H242" s="376"/>
      <c r="I242" s="375"/>
      <c r="J242" s="127">
        <v>16</v>
      </c>
      <c r="K242" s="131">
        <f t="shared" ref="K242:Q242" si="211">SUM(K244:K250)</f>
        <v>11</v>
      </c>
      <c r="L242" s="364">
        <f t="shared" si="211"/>
        <v>7</v>
      </c>
      <c r="M242" s="364">
        <f t="shared" si="211"/>
        <v>2</v>
      </c>
      <c r="N242" s="364">
        <f t="shared" si="211"/>
        <v>5</v>
      </c>
      <c r="O242" s="364">
        <f t="shared" si="211"/>
        <v>4</v>
      </c>
      <c r="P242" s="364">
        <f t="shared" si="211"/>
        <v>4</v>
      </c>
      <c r="Q242" s="365">
        <f t="shared" si="211"/>
        <v>4</v>
      </c>
      <c r="R242" s="128">
        <f>J242-K242</f>
        <v>5</v>
      </c>
      <c r="S242" s="233">
        <f>S243/28</f>
        <v>5.5</v>
      </c>
      <c r="T242" s="233"/>
      <c r="U242" s="362"/>
      <c r="V242" s="209"/>
      <c r="W242" s="106"/>
      <c r="X242" s="2">
        <f t="shared" si="204"/>
        <v>0</v>
      </c>
      <c r="Y242" s="2">
        <f t="shared" si="205"/>
        <v>0</v>
      </c>
      <c r="Z242" s="2">
        <f t="shared" si="206"/>
        <v>0</v>
      </c>
      <c r="AA242" s="2">
        <f>SUM(X242:X250)</f>
        <v>0</v>
      </c>
      <c r="AB242" s="2">
        <f>SUM(Y242:Y250)</f>
        <v>11</v>
      </c>
      <c r="AC242" s="2">
        <f>SUM(Z242:Z250)</f>
        <v>0</v>
      </c>
      <c r="AD242" s="270">
        <f t="shared" si="198"/>
        <v>0</v>
      </c>
      <c r="AE242" s="270">
        <f t="shared" si="199"/>
        <v>1</v>
      </c>
      <c r="AF242" s="270">
        <f t="shared" si="200"/>
        <v>0</v>
      </c>
    </row>
    <row r="243" spans="1:32" ht="13.5" customHeight="1" thickBot="1">
      <c r="A243" s="368"/>
      <c r="B243" s="368"/>
      <c r="C243" s="383"/>
      <c r="D243" s="368"/>
      <c r="E243" s="368"/>
      <c r="F243" s="368"/>
      <c r="G243" s="370"/>
      <c r="H243" s="371"/>
      <c r="I243" s="373"/>
      <c r="J243" s="129">
        <v>448</v>
      </c>
      <c r="K243" s="132">
        <f>K242*28</f>
        <v>308</v>
      </c>
      <c r="L243" s="361"/>
      <c r="M243" s="361"/>
      <c r="N243" s="361"/>
      <c r="O243" s="361"/>
      <c r="P243" s="361"/>
      <c r="Q243" s="366"/>
      <c r="R243" s="126">
        <f>J243-K243</f>
        <v>140</v>
      </c>
      <c r="S243" s="108">
        <f>SUM(S244:S250)</f>
        <v>154</v>
      </c>
      <c r="T243" s="16"/>
      <c r="U243" s="363"/>
      <c r="V243" s="77"/>
      <c r="W243" s="49"/>
      <c r="X243" s="2">
        <f t="shared" si="204"/>
        <v>0</v>
      </c>
      <c r="Y243" s="2">
        <f t="shared" si="205"/>
        <v>0</v>
      </c>
      <c r="Z243" s="2">
        <f t="shared" si="206"/>
        <v>0</v>
      </c>
      <c r="AD243" s="262"/>
      <c r="AE243" s="262"/>
      <c r="AF243" s="262"/>
    </row>
    <row r="244" spans="1:32" ht="12.75" customHeight="1">
      <c r="A244" s="368"/>
      <c r="B244" s="368"/>
      <c r="C244" s="383"/>
      <c r="D244" s="368"/>
      <c r="E244" s="368"/>
      <c r="F244" s="368"/>
      <c r="G244" s="305" t="s">
        <v>187</v>
      </c>
      <c r="H244" s="291" t="s">
        <v>49</v>
      </c>
      <c r="I244" s="29"/>
      <c r="J244" s="321" t="s">
        <v>24</v>
      </c>
      <c r="K244" s="287">
        <f>L244+O244</f>
        <v>2</v>
      </c>
      <c r="L244" s="287">
        <f t="shared" ref="L244:L250" si="212">IF(I244="m",(M244+N244)*2.5*V244/28,(M244+N244)*2*V244/28)</f>
        <v>2</v>
      </c>
      <c r="M244" s="288">
        <v>2</v>
      </c>
      <c r="N244" s="288"/>
      <c r="O244" s="287">
        <f t="shared" ref="O244:O250" si="213">IF(I244="m",(P244+Q244)*1.5*V244/28,(P244+Q244)*1*V244/28)</f>
        <v>0</v>
      </c>
      <c r="P244" s="288"/>
      <c r="Q244" s="288"/>
      <c r="R244" s="25" t="s">
        <v>38</v>
      </c>
      <c r="S244" s="25">
        <v>42</v>
      </c>
      <c r="T244" s="25"/>
      <c r="U244" s="363"/>
      <c r="V244" s="77">
        <v>14</v>
      </c>
      <c r="W244" s="49"/>
      <c r="X244" s="2">
        <f t="shared" si="204"/>
        <v>0</v>
      </c>
      <c r="Y244" s="2">
        <f t="shared" si="205"/>
        <v>2</v>
      </c>
      <c r="Z244" s="2">
        <f t="shared" si="206"/>
        <v>0</v>
      </c>
      <c r="AD244" s="262"/>
      <c r="AE244" s="262"/>
      <c r="AF244" s="262"/>
    </row>
    <row r="245" spans="1:32" ht="12.75" customHeight="1">
      <c r="A245" s="368"/>
      <c r="B245" s="368"/>
      <c r="C245" s="383"/>
      <c r="D245" s="368"/>
      <c r="E245" s="368"/>
      <c r="F245" s="368"/>
      <c r="G245" s="305" t="s">
        <v>188</v>
      </c>
      <c r="H245" s="291" t="s">
        <v>49</v>
      </c>
      <c r="I245" s="29"/>
      <c r="J245" s="291" t="s">
        <v>23</v>
      </c>
      <c r="K245" s="30">
        <f t="shared" ref="K245:K250" si="214">L245+O245</f>
        <v>2</v>
      </c>
      <c r="L245" s="30">
        <f t="shared" si="212"/>
        <v>2</v>
      </c>
      <c r="M245" s="29"/>
      <c r="N245" s="29">
        <v>2</v>
      </c>
      <c r="O245" s="30">
        <f t="shared" si="213"/>
        <v>0</v>
      </c>
      <c r="P245" s="29"/>
      <c r="Q245" s="29"/>
      <c r="R245" s="25" t="s">
        <v>39</v>
      </c>
      <c r="S245" s="25">
        <v>83</v>
      </c>
      <c r="T245" s="25"/>
      <c r="U245" s="363"/>
      <c r="V245" s="77">
        <v>14</v>
      </c>
      <c r="W245" s="49"/>
      <c r="X245" s="2">
        <f t="shared" si="204"/>
        <v>0</v>
      </c>
      <c r="Y245" s="2">
        <f t="shared" si="205"/>
        <v>2</v>
      </c>
      <c r="Z245" s="2">
        <f t="shared" si="206"/>
        <v>0</v>
      </c>
      <c r="AD245" s="262"/>
      <c r="AE245" s="262"/>
      <c r="AF245" s="262"/>
    </row>
    <row r="246" spans="1:32" ht="25.5" customHeight="1">
      <c r="A246" s="368"/>
      <c r="B246" s="368"/>
      <c r="C246" s="383"/>
      <c r="D246" s="368"/>
      <c r="E246" s="368"/>
      <c r="F246" s="368"/>
      <c r="G246" s="322" t="s">
        <v>189</v>
      </c>
      <c r="H246" s="240" t="s">
        <v>49</v>
      </c>
      <c r="I246" s="29"/>
      <c r="J246" s="240" t="s">
        <v>53</v>
      </c>
      <c r="K246" s="30">
        <f t="shared" si="214"/>
        <v>3</v>
      </c>
      <c r="L246" s="30">
        <f t="shared" si="212"/>
        <v>3</v>
      </c>
      <c r="M246" s="29"/>
      <c r="N246" s="29">
        <v>3</v>
      </c>
      <c r="O246" s="30">
        <f t="shared" si="213"/>
        <v>0</v>
      </c>
      <c r="P246" s="29"/>
      <c r="Q246" s="29"/>
      <c r="R246" s="25" t="s">
        <v>234</v>
      </c>
      <c r="S246" s="25">
        <v>15</v>
      </c>
      <c r="T246" s="25"/>
      <c r="U246" s="363"/>
      <c r="V246" s="77">
        <v>14</v>
      </c>
      <c r="W246" s="49"/>
      <c r="X246" s="2">
        <f t="shared" si="204"/>
        <v>0</v>
      </c>
      <c r="Y246" s="2">
        <f t="shared" si="205"/>
        <v>3</v>
      </c>
      <c r="Z246" s="2">
        <f t="shared" si="206"/>
        <v>0</v>
      </c>
      <c r="AD246" s="262"/>
      <c r="AE246" s="262"/>
      <c r="AF246" s="262"/>
    </row>
    <row r="247" spans="1:32" ht="12.75" customHeight="1">
      <c r="A247" s="368"/>
      <c r="B247" s="368"/>
      <c r="C247" s="383"/>
      <c r="D247" s="368"/>
      <c r="E247" s="368"/>
      <c r="F247" s="368"/>
      <c r="G247" s="305" t="s">
        <v>187</v>
      </c>
      <c r="H247" s="291" t="s">
        <v>49</v>
      </c>
      <c r="I247" s="29"/>
      <c r="J247" s="291" t="s">
        <v>129</v>
      </c>
      <c r="K247" s="30">
        <f>L247+O247</f>
        <v>1</v>
      </c>
      <c r="L247" s="30">
        <f>IF(I247="m",(M247+N247)*2.5*V247/28,(M247+N247)*2*V247/28)</f>
        <v>0</v>
      </c>
      <c r="M247" s="29"/>
      <c r="N247" s="29"/>
      <c r="O247" s="30">
        <f t="shared" si="213"/>
        <v>1</v>
      </c>
      <c r="P247" s="29">
        <v>2</v>
      </c>
      <c r="Q247" s="29"/>
      <c r="R247" s="25" t="s">
        <v>233</v>
      </c>
      <c r="S247" s="25">
        <v>14</v>
      </c>
      <c r="T247" s="25"/>
      <c r="U247" s="363"/>
      <c r="V247" s="77">
        <v>14</v>
      </c>
      <c r="W247" s="49"/>
      <c r="X247" s="2">
        <f t="shared" si="204"/>
        <v>0</v>
      </c>
      <c r="Y247" s="2">
        <f t="shared" si="205"/>
        <v>1</v>
      </c>
      <c r="Z247" s="2">
        <f t="shared" si="206"/>
        <v>0</v>
      </c>
      <c r="AD247" s="262"/>
      <c r="AE247" s="262"/>
      <c r="AF247" s="262"/>
    </row>
    <row r="248" spans="1:32" ht="25.5" customHeight="1">
      <c r="A248" s="368"/>
      <c r="B248" s="368"/>
      <c r="C248" s="383"/>
      <c r="D248" s="368"/>
      <c r="E248" s="368"/>
      <c r="F248" s="368"/>
      <c r="G248" s="322" t="s">
        <v>189</v>
      </c>
      <c r="H248" s="291" t="s">
        <v>49</v>
      </c>
      <c r="I248" s="29"/>
      <c r="J248" s="291" t="s">
        <v>147</v>
      </c>
      <c r="K248" s="30">
        <f t="shared" si="214"/>
        <v>1</v>
      </c>
      <c r="L248" s="30">
        <f t="shared" si="212"/>
        <v>0</v>
      </c>
      <c r="M248" s="29"/>
      <c r="N248" s="29"/>
      <c r="O248" s="30">
        <f t="shared" si="213"/>
        <v>1</v>
      </c>
      <c r="P248" s="29"/>
      <c r="Q248" s="29">
        <v>2</v>
      </c>
      <c r="R248" s="49"/>
      <c r="S248" s="49"/>
      <c r="T248" s="25"/>
      <c r="U248" s="363"/>
      <c r="V248" s="77">
        <v>14</v>
      </c>
      <c r="W248" s="49"/>
      <c r="X248" s="2">
        <f t="shared" si="204"/>
        <v>0</v>
      </c>
      <c r="Y248" s="2">
        <f t="shared" si="205"/>
        <v>1</v>
      </c>
      <c r="Z248" s="2">
        <f t="shared" si="206"/>
        <v>0</v>
      </c>
      <c r="AD248" s="262"/>
      <c r="AE248" s="262"/>
      <c r="AF248" s="262"/>
    </row>
    <row r="249" spans="1:32" ht="12.75" customHeight="1">
      <c r="A249" s="368"/>
      <c r="B249" s="368"/>
      <c r="C249" s="383"/>
      <c r="D249" s="368"/>
      <c r="E249" s="368"/>
      <c r="F249" s="368"/>
      <c r="G249" s="305" t="s">
        <v>183</v>
      </c>
      <c r="H249" s="240" t="s">
        <v>49</v>
      </c>
      <c r="I249" s="29"/>
      <c r="J249" s="240" t="s">
        <v>129</v>
      </c>
      <c r="K249" s="30">
        <f>L249+O249</f>
        <v>1</v>
      </c>
      <c r="L249" s="30">
        <f t="shared" si="212"/>
        <v>0</v>
      </c>
      <c r="M249" s="29"/>
      <c r="N249" s="29"/>
      <c r="O249" s="30">
        <f t="shared" si="213"/>
        <v>1</v>
      </c>
      <c r="P249" s="29">
        <v>2</v>
      </c>
      <c r="Q249" s="29"/>
      <c r="R249" s="49"/>
      <c r="S249" s="49"/>
      <c r="T249" s="25"/>
      <c r="U249" s="363"/>
      <c r="V249" s="77">
        <v>14</v>
      </c>
      <c r="W249" s="49"/>
      <c r="X249" s="2">
        <f t="shared" si="204"/>
        <v>0</v>
      </c>
      <c r="Y249" s="2">
        <f t="shared" si="205"/>
        <v>1</v>
      </c>
      <c r="Z249" s="2">
        <f t="shared" si="206"/>
        <v>0</v>
      </c>
      <c r="AD249" s="262"/>
      <c r="AE249" s="262"/>
      <c r="AF249" s="262"/>
    </row>
    <row r="250" spans="1:32" ht="17.25" customHeight="1" thickBot="1">
      <c r="A250" s="368"/>
      <c r="B250" s="368"/>
      <c r="C250" s="383"/>
      <c r="D250" s="368"/>
      <c r="E250" s="368"/>
      <c r="F250" s="368"/>
      <c r="G250" s="305" t="s">
        <v>188</v>
      </c>
      <c r="H250" s="291" t="s">
        <v>49</v>
      </c>
      <c r="I250" s="29"/>
      <c r="J250" s="291" t="s">
        <v>147</v>
      </c>
      <c r="K250" s="30">
        <f t="shared" si="214"/>
        <v>1</v>
      </c>
      <c r="L250" s="30">
        <f t="shared" si="212"/>
        <v>0</v>
      </c>
      <c r="M250" s="29"/>
      <c r="N250" s="29"/>
      <c r="O250" s="30">
        <f t="shared" si="213"/>
        <v>1</v>
      </c>
      <c r="P250" s="29"/>
      <c r="Q250" s="29">
        <v>2</v>
      </c>
      <c r="R250" s="49"/>
      <c r="S250" s="49"/>
      <c r="T250" s="25"/>
      <c r="U250" s="363"/>
      <c r="V250" s="77">
        <v>14</v>
      </c>
      <c r="W250" s="49"/>
      <c r="X250" s="2">
        <f t="shared" si="204"/>
        <v>0</v>
      </c>
      <c r="Y250" s="2">
        <f t="shared" si="205"/>
        <v>1</v>
      </c>
      <c r="Z250" s="2">
        <f t="shared" si="206"/>
        <v>0</v>
      </c>
      <c r="AD250" s="262"/>
      <c r="AE250" s="262"/>
      <c r="AF250" s="262"/>
    </row>
    <row r="251" spans="1:32" ht="13.5" customHeight="1">
      <c r="A251" s="367">
        <v>25</v>
      </c>
      <c r="B251" s="367" t="s">
        <v>155</v>
      </c>
      <c r="C251" s="367" t="s">
        <v>285</v>
      </c>
      <c r="D251" s="367"/>
      <c r="E251" s="367"/>
      <c r="F251" s="396" t="s">
        <v>121</v>
      </c>
      <c r="G251" s="376"/>
      <c r="H251" s="376"/>
      <c r="I251" s="375"/>
      <c r="J251" s="127">
        <v>16</v>
      </c>
      <c r="K251" s="131">
        <f t="shared" ref="K251:Q251" si="215">SUM(K253:K259)</f>
        <v>11</v>
      </c>
      <c r="L251" s="364">
        <f t="shared" si="215"/>
        <v>1</v>
      </c>
      <c r="M251" s="364">
        <f t="shared" si="215"/>
        <v>0</v>
      </c>
      <c r="N251" s="364">
        <f t="shared" si="215"/>
        <v>1</v>
      </c>
      <c r="O251" s="364">
        <f t="shared" si="215"/>
        <v>10</v>
      </c>
      <c r="P251" s="364">
        <f t="shared" si="215"/>
        <v>6</v>
      </c>
      <c r="Q251" s="365">
        <f t="shared" si="215"/>
        <v>14</v>
      </c>
      <c r="R251" s="128">
        <f>J251-K251</f>
        <v>5</v>
      </c>
      <c r="S251" s="233">
        <f>S252/28</f>
        <v>0</v>
      </c>
      <c r="T251" s="233"/>
      <c r="U251" s="362"/>
      <c r="V251" s="209"/>
      <c r="W251" s="106"/>
      <c r="X251" s="2">
        <f t="shared" si="204"/>
        <v>0</v>
      </c>
      <c r="Y251" s="2">
        <f t="shared" si="205"/>
        <v>0</v>
      </c>
      <c r="Z251" s="2">
        <f t="shared" si="206"/>
        <v>0</v>
      </c>
      <c r="AA251" s="2">
        <f>SUM(X251:X259)</f>
        <v>2</v>
      </c>
      <c r="AB251" s="2">
        <f>SUM(Y251:Y259)</f>
        <v>2</v>
      </c>
      <c r="AC251" s="2">
        <f>SUM(Z251:Z259)</f>
        <v>0</v>
      </c>
      <c r="AD251" s="274">
        <f>AA251/16</f>
        <v>0.125</v>
      </c>
      <c r="AE251" s="274">
        <f>AB251/16</f>
        <v>0.125</v>
      </c>
      <c r="AF251" s="274">
        <f>AC251/16</f>
        <v>0</v>
      </c>
    </row>
    <row r="252" spans="1:32" ht="13.5" customHeight="1">
      <c r="A252" s="368"/>
      <c r="B252" s="368"/>
      <c r="C252" s="368"/>
      <c r="D252" s="368"/>
      <c r="E252" s="368"/>
      <c r="F252" s="397"/>
      <c r="G252" s="390"/>
      <c r="H252" s="388"/>
      <c r="I252" s="389"/>
      <c r="J252" s="241">
        <v>448</v>
      </c>
      <c r="K252" s="242">
        <f>K251*28</f>
        <v>308</v>
      </c>
      <c r="L252" s="374"/>
      <c r="M252" s="374"/>
      <c r="N252" s="374"/>
      <c r="O252" s="374"/>
      <c r="P252" s="374"/>
      <c r="Q252" s="377"/>
      <c r="R252" s="126">
        <f>J252-K252</f>
        <v>140</v>
      </c>
      <c r="S252" s="108">
        <f>SUM(S253:S259)</f>
        <v>0</v>
      </c>
      <c r="T252" s="16"/>
      <c r="U252" s="363"/>
      <c r="V252" s="77"/>
      <c r="W252" s="49"/>
      <c r="X252" s="2">
        <f t="shared" si="204"/>
        <v>0</v>
      </c>
      <c r="Y252" s="2">
        <f t="shared" si="205"/>
        <v>0</v>
      </c>
      <c r="Z252" s="2">
        <f t="shared" si="206"/>
        <v>0</v>
      </c>
      <c r="AD252" s="262"/>
      <c r="AE252" s="262"/>
      <c r="AF252" s="262"/>
    </row>
    <row r="253" spans="1:32" ht="51">
      <c r="A253" s="368"/>
      <c r="B253" s="368"/>
      <c r="C253" s="368"/>
      <c r="D253" s="368"/>
      <c r="E253" s="368"/>
      <c r="F253" s="120" t="s">
        <v>289</v>
      </c>
      <c r="G253" s="285" t="s">
        <v>192</v>
      </c>
      <c r="H253" s="290" t="s">
        <v>193</v>
      </c>
      <c r="I253" s="29"/>
      <c r="J253" s="290" t="s">
        <v>62</v>
      </c>
      <c r="K253" s="30">
        <f t="shared" ref="K253" si="216">L253+O253</f>
        <v>1</v>
      </c>
      <c r="L253" s="30">
        <f t="shared" ref="L253:L258" si="217">IF(I253="m",(M253+N253)*2.5*V253/28,(M253+N253)*2*V253/28)</f>
        <v>1</v>
      </c>
      <c r="M253" s="290"/>
      <c r="N253" s="290">
        <v>1</v>
      </c>
      <c r="O253" s="30">
        <f t="shared" ref="O253:O258" si="218">IF(I253="m",(P253+Q253)*1.5*V253/28,(P253+Q253)*1*V253/28)</f>
        <v>0</v>
      </c>
      <c r="P253" s="290"/>
      <c r="Q253" s="290"/>
      <c r="R253" s="25"/>
      <c r="S253" s="25"/>
      <c r="T253" s="25"/>
      <c r="U253" s="363"/>
      <c r="V253" s="77">
        <v>14</v>
      </c>
      <c r="W253" s="49"/>
      <c r="X253" s="2">
        <f t="shared" si="204"/>
        <v>1</v>
      </c>
      <c r="Y253" s="2">
        <f t="shared" si="205"/>
        <v>1</v>
      </c>
      <c r="Z253" s="2">
        <f t="shared" si="206"/>
        <v>0</v>
      </c>
      <c r="AD253" s="262"/>
      <c r="AE253" s="262"/>
      <c r="AF253" s="262"/>
    </row>
    <row r="254" spans="1:32" ht="12.75" customHeight="1">
      <c r="A254" s="368"/>
      <c r="B254" s="368"/>
      <c r="C254" s="368"/>
      <c r="D254" s="368"/>
      <c r="E254" s="368"/>
      <c r="F254" s="120"/>
      <c r="G254" s="285" t="s">
        <v>192</v>
      </c>
      <c r="H254" s="290" t="s">
        <v>49</v>
      </c>
      <c r="I254" s="29"/>
      <c r="J254" s="290" t="s">
        <v>65</v>
      </c>
      <c r="K254" s="30">
        <f>L254+O254</f>
        <v>1</v>
      </c>
      <c r="L254" s="30">
        <f t="shared" si="217"/>
        <v>0</v>
      </c>
      <c r="M254" s="290"/>
      <c r="N254" s="290"/>
      <c r="O254" s="30">
        <f t="shared" si="218"/>
        <v>1</v>
      </c>
      <c r="P254" s="290"/>
      <c r="Q254" s="290">
        <v>2</v>
      </c>
      <c r="R254" s="25"/>
      <c r="S254" s="25"/>
      <c r="T254" s="25"/>
      <c r="U254" s="363"/>
      <c r="V254" s="77">
        <v>14</v>
      </c>
      <c r="W254" s="49"/>
      <c r="X254" s="2">
        <f>IF(ISNUMBER(SEARCH("Aut",#REF!)),#REF!, 0)</f>
        <v>0</v>
      </c>
      <c r="Y254" s="2">
        <f>IF(ISNUMBER(SEARCH("Tst",#REF!)),#REF!, 0)</f>
        <v>0</v>
      </c>
      <c r="Z254" s="2">
        <f>IF(ISNUMBER(SEARCH("Calc",#REF!)),#REF!, 0)</f>
        <v>0</v>
      </c>
      <c r="AD254" s="262"/>
      <c r="AE254" s="262"/>
      <c r="AF254" s="262"/>
    </row>
    <row r="255" spans="1:32" ht="12.75" customHeight="1">
      <c r="A255" s="368"/>
      <c r="B255" s="368"/>
      <c r="C255" s="368"/>
      <c r="D255" s="368"/>
      <c r="E255" s="368"/>
      <c r="F255" s="120"/>
      <c r="G255" s="285" t="s">
        <v>192</v>
      </c>
      <c r="H255" s="290" t="s">
        <v>55</v>
      </c>
      <c r="I255" s="29"/>
      <c r="J255" s="290" t="s">
        <v>65</v>
      </c>
      <c r="K255" s="30">
        <f>L255+O255</f>
        <v>1</v>
      </c>
      <c r="L255" s="30">
        <f t="shared" si="217"/>
        <v>0</v>
      </c>
      <c r="M255" s="290"/>
      <c r="N255" s="290"/>
      <c r="O255" s="30">
        <f t="shared" si="218"/>
        <v>1</v>
      </c>
      <c r="P255" s="290"/>
      <c r="Q255" s="290">
        <v>2</v>
      </c>
      <c r="R255" s="25"/>
      <c r="S255" s="25"/>
      <c r="T255" s="25"/>
      <c r="U255" s="363"/>
      <c r="V255" s="77">
        <v>14</v>
      </c>
      <c r="W255" s="49"/>
      <c r="X255" s="2">
        <f>IF(ISNUMBER(SEARCH("Aut",H267)),K267, 0)</f>
        <v>0</v>
      </c>
      <c r="Y255" s="2">
        <f>IF(ISNUMBER(SEARCH("Tst",H267)),K267, 0)</f>
        <v>0</v>
      </c>
      <c r="Z255" s="2">
        <f>IF(ISNUMBER(SEARCH("Calc",H267)),K267, 0)</f>
        <v>0</v>
      </c>
      <c r="AD255" s="262"/>
      <c r="AE255" s="262"/>
      <c r="AF255" s="262"/>
    </row>
    <row r="256" spans="1:32" ht="25.5">
      <c r="A256" s="368"/>
      <c r="B256" s="368"/>
      <c r="C256" s="368"/>
      <c r="D256" s="368"/>
      <c r="E256" s="368"/>
      <c r="F256" s="120"/>
      <c r="G256" s="285" t="s">
        <v>58</v>
      </c>
      <c r="H256" s="240" t="s">
        <v>61</v>
      </c>
      <c r="I256" s="29"/>
      <c r="J256" s="240" t="s">
        <v>19</v>
      </c>
      <c r="K256" s="30">
        <f>L256+O256</f>
        <v>2</v>
      </c>
      <c r="L256" s="30">
        <f t="shared" si="217"/>
        <v>0</v>
      </c>
      <c r="M256" s="240"/>
      <c r="N256" s="240"/>
      <c r="O256" s="30">
        <f t="shared" si="218"/>
        <v>2</v>
      </c>
      <c r="P256" s="291"/>
      <c r="Q256" s="240">
        <v>4</v>
      </c>
      <c r="R256" s="25"/>
      <c r="S256" s="25"/>
      <c r="T256" s="25"/>
      <c r="U256" s="363"/>
      <c r="V256" s="77">
        <v>14</v>
      </c>
      <c r="W256" s="49"/>
      <c r="X256" s="2">
        <f>IF(ISNUMBER(SEARCH("Aut",#REF!)),#REF!, 0)</f>
        <v>0</v>
      </c>
      <c r="Y256" s="2">
        <f>IF(ISNUMBER(SEARCH("Tst",#REF!)),#REF!, 0)</f>
        <v>0</v>
      </c>
      <c r="Z256" s="2">
        <f>IF(ISNUMBER(SEARCH("Calc",#REF!)),#REF!, 0)</f>
        <v>0</v>
      </c>
      <c r="AD256" s="262"/>
      <c r="AE256" s="262"/>
      <c r="AF256" s="262"/>
    </row>
    <row r="257" spans="1:32" ht="25.5" customHeight="1">
      <c r="A257" s="368"/>
      <c r="B257" s="368"/>
      <c r="C257" s="368"/>
      <c r="D257" s="368"/>
      <c r="E257" s="368"/>
      <c r="F257" s="120"/>
      <c r="G257" s="285" t="s">
        <v>58</v>
      </c>
      <c r="H257" s="240" t="s">
        <v>61</v>
      </c>
      <c r="I257" s="29"/>
      <c r="J257" s="240" t="s">
        <v>130</v>
      </c>
      <c r="K257" s="30">
        <f t="shared" ref="K257" si="219">L257+O257</f>
        <v>2</v>
      </c>
      <c r="L257" s="30">
        <f t="shared" si="217"/>
        <v>0</v>
      </c>
      <c r="M257" s="29"/>
      <c r="N257" s="29"/>
      <c r="O257" s="30">
        <f t="shared" si="218"/>
        <v>2</v>
      </c>
      <c r="P257" s="240"/>
      <c r="Q257" s="240">
        <v>4</v>
      </c>
      <c r="R257" s="25"/>
      <c r="S257" s="25"/>
      <c r="T257" s="25"/>
      <c r="U257" s="363"/>
      <c r="V257" s="77">
        <v>14</v>
      </c>
      <c r="W257" s="49"/>
      <c r="X257" s="2">
        <f>IF(ISNUMBER(SEARCH("Aut",H279)),K279, 0)</f>
        <v>1</v>
      </c>
      <c r="Y257" s="2">
        <f>IF(ISNUMBER(SEARCH("Tst",H279)),K279, 0)</f>
        <v>0</v>
      </c>
      <c r="Z257" s="2">
        <f>IF(ISNUMBER(SEARCH("Calc",H279)),K279, 0)</f>
        <v>0</v>
      </c>
      <c r="AD257" s="262"/>
      <c r="AE257" s="262"/>
      <c r="AF257" s="262"/>
    </row>
    <row r="258" spans="1:32" ht="25.5" customHeight="1">
      <c r="A258" s="368"/>
      <c r="B258" s="368"/>
      <c r="C258" s="368"/>
      <c r="D258" s="368"/>
      <c r="E258" s="368"/>
      <c r="F258" s="120"/>
      <c r="G258" s="285" t="s">
        <v>58</v>
      </c>
      <c r="H258" s="240" t="s">
        <v>61</v>
      </c>
      <c r="I258" s="29"/>
      <c r="J258" s="240" t="s">
        <v>135</v>
      </c>
      <c r="K258" s="30">
        <f>L258+O258</f>
        <v>1</v>
      </c>
      <c r="L258" s="30">
        <f t="shared" si="217"/>
        <v>0</v>
      </c>
      <c r="M258" s="29"/>
      <c r="N258" s="29"/>
      <c r="O258" s="30">
        <f t="shared" si="218"/>
        <v>1</v>
      </c>
      <c r="P258" s="240"/>
      <c r="Q258" s="240">
        <v>2</v>
      </c>
      <c r="R258" s="25"/>
      <c r="S258" s="25"/>
      <c r="T258" s="25"/>
      <c r="U258" s="363"/>
      <c r="V258" s="77">
        <v>14</v>
      </c>
      <c r="W258" s="49"/>
      <c r="X258" s="2">
        <f>IF(ISNUMBER(SEARCH("Aut",H22)),K22, 0)</f>
        <v>0</v>
      </c>
      <c r="Y258" s="2">
        <f>IF(ISNUMBER(SEARCH("Tst",H22)),K22, 0)</f>
        <v>1</v>
      </c>
      <c r="Z258" s="2">
        <f>IF(ISNUMBER(SEARCH("Calc",H22)),K22, 0)</f>
        <v>0</v>
      </c>
      <c r="AD258" s="262"/>
      <c r="AE258" s="262"/>
      <c r="AF258" s="262"/>
    </row>
    <row r="259" spans="1:32" ht="17.25" customHeight="1" thickBot="1">
      <c r="A259" s="368"/>
      <c r="B259" s="368"/>
      <c r="C259" s="368"/>
      <c r="D259" s="368"/>
      <c r="E259" s="368"/>
      <c r="F259" s="120"/>
      <c r="G259" s="285" t="s">
        <v>176</v>
      </c>
      <c r="H259" s="240" t="s">
        <v>177</v>
      </c>
      <c r="I259" s="29"/>
      <c r="J259" s="240" t="s">
        <v>199</v>
      </c>
      <c r="K259" s="30">
        <f>L259+O259</f>
        <v>3</v>
      </c>
      <c r="L259" s="30">
        <f>IF(I259="m",(M259+N259)*2.5*V97/28,(M259+N259)*2*V97/28)</f>
        <v>0</v>
      </c>
      <c r="M259" s="29"/>
      <c r="N259" s="29"/>
      <c r="O259" s="30">
        <f>IF(I259="m",(P259+Q259)*1.5*V97/28,(P259+Q259)*1*V97/28)</f>
        <v>3</v>
      </c>
      <c r="P259" s="312">
        <v>6</v>
      </c>
      <c r="Q259" s="29"/>
      <c r="R259" s="25"/>
      <c r="S259" s="25"/>
      <c r="T259" s="25"/>
      <c r="U259" s="363"/>
      <c r="V259" s="77">
        <v>14</v>
      </c>
      <c r="W259" s="49"/>
      <c r="X259" s="2">
        <f>IF(ISNUMBER(SEARCH("Aut",#REF!)),#REF!, 0)</f>
        <v>0</v>
      </c>
      <c r="Y259" s="2">
        <f>IF(ISNUMBER(SEARCH("Tst",#REF!)),#REF!, 0)</f>
        <v>0</v>
      </c>
      <c r="Z259" s="2">
        <f>IF(ISNUMBER(SEARCH("Calc",#REF!)),#REF!, 0)</f>
        <v>0</v>
      </c>
      <c r="AD259" s="262"/>
      <c r="AE259" s="262"/>
      <c r="AF259" s="262"/>
    </row>
    <row r="260" spans="1:32" ht="12.75" customHeight="1">
      <c r="A260" s="367">
        <v>26</v>
      </c>
      <c r="B260" s="367" t="s">
        <v>155</v>
      </c>
      <c r="C260" s="430" t="s">
        <v>118</v>
      </c>
      <c r="D260" s="367"/>
      <c r="E260" s="367"/>
      <c r="F260" s="432"/>
      <c r="G260" s="376"/>
      <c r="H260" s="376"/>
      <c r="I260" s="375"/>
      <c r="J260" s="127">
        <v>16</v>
      </c>
      <c r="K260" s="131">
        <f t="shared" ref="K260:Q260" si="220">SUM(K262:K273)</f>
        <v>16</v>
      </c>
      <c r="L260" s="364">
        <f t="shared" si="220"/>
        <v>2</v>
      </c>
      <c r="M260" s="364">
        <f t="shared" si="220"/>
        <v>2</v>
      </c>
      <c r="N260" s="364">
        <f t="shared" si="220"/>
        <v>0</v>
      </c>
      <c r="O260" s="364">
        <f t="shared" si="220"/>
        <v>14</v>
      </c>
      <c r="P260" s="364">
        <f t="shared" si="220"/>
        <v>12</v>
      </c>
      <c r="Q260" s="365">
        <f t="shared" si="220"/>
        <v>16</v>
      </c>
      <c r="R260" s="128">
        <f>J260-K260</f>
        <v>0</v>
      </c>
      <c r="S260" s="233">
        <f>S261/28</f>
        <v>0</v>
      </c>
      <c r="T260" s="233"/>
      <c r="U260" s="362"/>
      <c r="V260" s="209"/>
      <c r="W260" s="106"/>
      <c r="X260" s="2">
        <f t="shared" si="204"/>
        <v>0</v>
      </c>
      <c r="Y260" s="2">
        <f t="shared" si="205"/>
        <v>0</v>
      </c>
      <c r="Z260" s="2">
        <f t="shared" si="206"/>
        <v>0</v>
      </c>
      <c r="AA260" s="2">
        <f t="shared" ref="AA260" si="221">SUM(X260:X264)</f>
        <v>0</v>
      </c>
      <c r="AB260" s="2">
        <f t="shared" ref="AB260" si="222">SUM(Y260:Y264)</f>
        <v>0</v>
      </c>
      <c r="AC260" s="2">
        <f t="shared" ref="AC260" si="223">SUM(Z260:Z264)</f>
        <v>0</v>
      </c>
      <c r="AD260" s="274">
        <f t="shared" ref="AD260" si="224">AA260/16</f>
        <v>0</v>
      </c>
      <c r="AE260" s="274">
        <f t="shared" ref="AE260" si="225">AB260/16</f>
        <v>0</v>
      </c>
      <c r="AF260" s="274">
        <f t="shared" ref="AF260" si="226">AC260/16</f>
        <v>0</v>
      </c>
    </row>
    <row r="261" spans="1:32" ht="13.5" customHeight="1" thickBot="1">
      <c r="A261" s="368"/>
      <c r="B261" s="368"/>
      <c r="C261" s="431"/>
      <c r="D261" s="368"/>
      <c r="E261" s="368"/>
      <c r="F261" s="397"/>
      <c r="G261" s="370"/>
      <c r="H261" s="371"/>
      <c r="I261" s="373"/>
      <c r="J261" s="129">
        <v>448</v>
      </c>
      <c r="K261" s="132">
        <f>K260*28</f>
        <v>448</v>
      </c>
      <c r="L261" s="361"/>
      <c r="M261" s="361"/>
      <c r="N261" s="361"/>
      <c r="O261" s="361"/>
      <c r="P261" s="361"/>
      <c r="Q261" s="366"/>
      <c r="R261" s="126">
        <f>J261-K261</f>
        <v>0</v>
      </c>
      <c r="S261" s="108">
        <f>SUM(S262:S273)</f>
        <v>0</v>
      </c>
      <c r="T261" s="16"/>
      <c r="U261" s="363"/>
      <c r="V261" s="77"/>
      <c r="W261" s="49"/>
      <c r="X261" s="2">
        <f t="shared" si="204"/>
        <v>0</v>
      </c>
      <c r="Y261" s="2">
        <f t="shared" si="205"/>
        <v>0</v>
      </c>
      <c r="Z261" s="2">
        <f t="shared" si="206"/>
        <v>0</v>
      </c>
    </row>
    <row r="262" spans="1:32" ht="38.25">
      <c r="A262" s="368"/>
      <c r="B262" s="368"/>
      <c r="C262" s="431"/>
      <c r="D262" s="368"/>
      <c r="E262" s="368"/>
      <c r="F262" s="332"/>
      <c r="G262" s="285" t="s">
        <v>141</v>
      </c>
      <c r="H262" s="240" t="s">
        <v>143</v>
      </c>
      <c r="I262" s="29"/>
      <c r="J262" s="240" t="s">
        <v>216</v>
      </c>
      <c r="K262" s="30">
        <f>L262+O262</f>
        <v>2</v>
      </c>
      <c r="L262" s="30">
        <f>IF(I262="m",(M262+N262)*2.5*V270/28,(M262+N262)*2*V270/28)</f>
        <v>2</v>
      </c>
      <c r="M262" s="29">
        <v>2</v>
      </c>
      <c r="N262" s="29"/>
      <c r="O262" s="30">
        <f>IF(I262="m",(P262+Q262)*1.5*V270/28,(P262+Q262)*1*V270/28)</f>
        <v>0</v>
      </c>
      <c r="P262" s="29"/>
      <c r="Q262" s="29"/>
      <c r="R262" s="25" t="s">
        <v>40</v>
      </c>
      <c r="S262" s="25"/>
      <c r="T262" s="25"/>
      <c r="U262" s="363"/>
      <c r="V262" s="77">
        <v>14</v>
      </c>
      <c r="W262" s="49"/>
      <c r="X262" s="2">
        <f>IF(ISNUMBER(SEARCH("Aut",#REF!)),#REF!, 0)</f>
        <v>0</v>
      </c>
      <c r="Y262" s="2">
        <f>IF(ISNUMBER(SEARCH("Tst",#REF!)),#REF!, 0)</f>
        <v>0</v>
      </c>
      <c r="Z262" s="2">
        <f>IF(ISNUMBER(SEARCH("Calc",#REF!)),#REF!, 0)</f>
        <v>0</v>
      </c>
    </row>
    <row r="263" spans="1:32">
      <c r="A263" s="368"/>
      <c r="B263" s="368"/>
      <c r="C263" s="431"/>
      <c r="D263" s="368"/>
      <c r="E263" s="368"/>
      <c r="F263" s="243"/>
      <c r="G263" s="285" t="s">
        <v>123</v>
      </c>
      <c r="H263" s="240" t="s">
        <v>49</v>
      </c>
      <c r="I263" s="29"/>
      <c r="J263" s="240" t="s">
        <v>65</v>
      </c>
      <c r="K263" s="30">
        <f>L263+O263</f>
        <v>1</v>
      </c>
      <c r="L263" s="30">
        <f>IF(I263="m",(M263+N263)*2.5*V271/28,(M263+N263)*2*V271/28)</f>
        <v>0</v>
      </c>
      <c r="M263" s="240"/>
      <c r="N263" s="240"/>
      <c r="O263" s="30">
        <f t="shared" ref="O263:O267" si="227">IF(I263="m",(P263+Q263)*1.5*V271/28,(P263+Q263)*1*V271/28)</f>
        <v>1</v>
      </c>
      <c r="P263" s="312">
        <v>2</v>
      </c>
      <c r="Q263" s="312"/>
      <c r="R263" s="25"/>
      <c r="S263" s="25"/>
      <c r="T263" s="25"/>
      <c r="U263" s="363"/>
      <c r="V263" s="77">
        <v>14</v>
      </c>
      <c r="W263" s="49"/>
      <c r="X263" s="2">
        <f>IF(ISNUMBER(SEARCH("Aut",#REF!)),#REF!, 0)</f>
        <v>0</v>
      </c>
      <c r="Y263" s="2">
        <f>IF(ISNUMBER(SEARCH("Tst",#REF!)),#REF!, 0)</f>
        <v>0</v>
      </c>
      <c r="Z263" s="2">
        <f>IF(ISNUMBER(SEARCH("Calc",#REF!)),#REF!, 0)</f>
        <v>0</v>
      </c>
    </row>
    <row r="264" spans="1:32" ht="12.75" customHeight="1">
      <c r="A264" s="368"/>
      <c r="B264" s="368"/>
      <c r="C264" s="431"/>
      <c r="D264" s="368"/>
      <c r="E264" s="368"/>
      <c r="F264" s="283"/>
      <c r="G264" s="285" t="s">
        <v>154</v>
      </c>
      <c r="H264" s="240" t="s">
        <v>55</v>
      </c>
      <c r="I264" s="29"/>
      <c r="J264" s="240" t="s">
        <v>126</v>
      </c>
      <c r="K264" s="30">
        <f t="shared" ref="K264:K266" si="228">L264+O264</f>
        <v>2</v>
      </c>
      <c r="L264" s="30">
        <f>IF(I264="m",(M264+N264)*2.5*V272/28,(M264+N264)*2*V272/28)</f>
        <v>0</v>
      </c>
      <c r="M264" s="29"/>
      <c r="N264" s="29"/>
      <c r="O264" s="30">
        <f t="shared" si="227"/>
        <v>2</v>
      </c>
      <c r="P264" s="29"/>
      <c r="Q264" s="240">
        <v>4</v>
      </c>
      <c r="R264" s="25"/>
      <c r="S264" s="25"/>
      <c r="T264" s="25"/>
      <c r="U264" s="363"/>
      <c r="V264" s="77">
        <v>14</v>
      </c>
      <c r="W264" s="49"/>
      <c r="X264" s="2">
        <f>IF(ISNUMBER(SEARCH("Aut",#REF!)),#REF!, 0)</f>
        <v>0</v>
      </c>
      <c r="Y264" s="2">
        <f>IF(ISNUMBER(SEARCH("Tst",#REF!)),#REF!, 0)</f>
        <v>0</v>
      </c>
      <c r="Z264" s="2">
        <f>IF(ISNUMBER(SEARCH("Calc",#REF!)),#REF!, 0)</f>
        <v>0</v>
      </c>
    </row>
    <row r="265" spans="1:32" ht="41.25" customHeight="1">
      <c r="A265" s="368"/>
      <c r="B265" s="368"/>
      <c r="C265" s="431"/>
      <c r="D265" s="368"/>
      <c r="E265" s="368"/>
      <c r="F265" s="283"/>
      <c r="G265" s="315" t="s">
        <v>258</v>
      </c>
      <c r="H265" s="314" t="s">
        <v>61</v>
      </c>
      <c r="I265" s="315"/>
      <c r="J265" s="314" t="s">
        <v>65</v>
      </c>
      <c r="K265" s="30">
        <f>L265+O265</f>
        <v>1</v>
      </c>
      <c r="L265" s="30">
        <f t="shared" ref="L265:L267" si="229">IF(I265="m",(M265+N265)*2.5*V273/28,(M265+N265)*2*V273/28)</f>
        <v>0</v>
      </c>
      <c r="M265" s="315"/>
      <c r="N265" s="315"/>
      <c r="O265" s="30">
        <f t="shared" si="227"/>
        <v>1</v>
      </c>
      <c r="P265" s="315"/>
      <c r="Q265" s="315">
        <v>2</v>
      </c>
      <c r="R265" s="25"/>
      <c r="S265" s="25"/>
      <c r="T265" s="25"/>
      <c r="U265" s="363"/>
      <c r="V265" s="77">
        <v>14</v>
      </c>
      <c r="W265" s="49"/>
      <c r="X265" s="2">
        <f>IF(ISNUMBER(SEARCH("Aut",H254)),K254, 0)</f>
        <v>0</v>
      </c>
      <c r="Y265" s="2">
        <f>IF(ISNUMBER(SEARCH("Tst",H254)),K254, 0)</f>
        <v>1</v>
      </c>
      <c r="Z265" s="2">
        <f>IF(ISNUMBER(SEARCH("Calc",H254)),K254, 0)</f>
        <v>0</v>
      </c>
    </row>
    <row r="266" spans="1:32" ht="25.5" customHeight="1">
      <c r="A266" s="368"/>
      <c r="B266" s="368"/>
      <c r="C266" s="431"/>
      <c r="D266" s="368"/>
      <c r="E266" s="368"/>
      <c r="F266" s="243"/>
      <c r="G266" s="289" t="s">
        <v>198</v>
      </c>
      <c r="H266" s="286" t="s">
        <v>177</v>
      </c>
      <c r="I266" s="288"/>
      <c r="J266" s="286" t="s">
        <v>147</v>
      </c>
      <c r="K266" s="287">
        <f t="shared" si="228"/>
        <v>1</v>
      </c>
      <c r="L266" s="287">
        <f t="shared" si="229"/>
        <v>0</v>
      </c>
      <c r="M266" s="288"/>
      <c r="N266" s="288"/>
      <c r="O266" s="287">
        <f t="shared" si="227"/>
        <v>1</v>
      </c>
      <c r="P266" s="286"/>
      <c r="Q266" s="286">
        <v>2</v>
      </c>
      <c r="R266" s="25"/>
      <c r="S266" s="25"/>
      <c r="T266" s="25"/>
      <c r="U266" s="363"/>
      <c r="V266" s="77">
        <v>14</v>
      </c>
      <c r="W266" s="49"/>
      <c r="X266" s="2">
        <f>IF(ISNUMBER(SEARCH("Aut",H162)),K162, 0)</f>
        <v>0</v>
      </c>
      <c r="Y266" s="2">
        <f>IF(ISNUMBER(SEARCH("Tst",H162)),K162, 0)</f>
        <v>0.5</v>
      </c>
      <c r="Z266" s="2">
        <f>IF(ISNUMBER(SEARCH("Calc",H162)),K162, 0)</f>
        <v>0</v>
      </c>
    </row>
    <row r="267" spans="1:32" ht="25.5" customHeight="1">
      <c r="A267" s="368"/>
      <c r="B267" s="368"/>
      <c r="C267" s="431"/>
      <c r="D267" s="368"/>
      <c r="E267" s="368"/>
      <c r="F267" s="285"/>
      <c r="G267" s="285" t="s">
        <v>194</v>
      </c>
      <c r="H267" s="240" t="s">
        <v>146</v>
      </c>
      <c r="I267" s="29"/>
      <c r="J267" s="240" t="s">
        <v>19</v>
      </c>
      <c r="K267" s="30">
        <f>L267+O267</f>
        <v>2</v>
      </c>
      <c r="L267" s="30">
        <f t="shared" si="229"/>
        <v>0</v>
      </c>
      <c r="M267" s="240"/>
      <c r="N267" s="240"/>
      <c r="O267" s="30">
        <f t="shared" si="227"/>
        <v>2</v>
      </c>
      <c r="P267" s="240"/>
      <c r="Q267" s="240">
        <v>4</v>
      </c>
      <c r="R267" s="25"/>
      <c r="S267" s="25"/>
      <c r="T267" s="25"/>
      <c r="U267" s="363"/>
      <c r="V267" s="77"/>
      <c r="W267" s="49"/>
    </row>
    <row r="268" spans="1:32" ht="25.5">
      <c r="A268" s="368"/>
      <c r="B268" s="368"/>
      <c r="C268" s="431"/>
      <c r="D268" s="368"/>
      <c r="E268" s="368"/>
      <c r="F268" s="243"/>
      <c r="G268" s="304" t="s">
        <v>224</v>
      </c>
      <c r="H268" s="240" t="s">
        <v>55</v>
      </c>
      <c r="I268" s="29"/>
      <c r="J268" s="240" t="s">
        <v>127</v>
      </c>
      <c r="K268" s="30">
        <f>L268+O268</f>
        <v>1</v>
      </c>
      <c r="L268" s="30">
        <f t="shared" ref="L268:L272" si="230">IF(I268="m",(M268+N268)*2.5*V275/28,(M268+N268)*2*V275/28)</f>
        <v>0</v>
      </c>
      <c r="M268" s="29"/>
      <c r="N268" s="29"/>
      <c r="O268" s="30">
        <f t="shared" ref="O268:O273" si="231">IF(I268="m",(P268+Q268)*1.5*V275/28,(P268+Q268)*1*V275/28)</f>
        <v>1</v>
      </c>
      <c r="P268" s="240">
        <v>2</v>
      </c>
      <c r="Q268" s="240"/>
      <c r="R268" s="25"/>
      <c r="S268" s="25"/>
      <c r="T268" s="25"/>
      <c r="U268" s="363"/>
      <c r="V268" s="77">
        <v>14</v>
      </c>
      <c r="W268" s="49"/>
      <c r="X268" s="2">
        <f>IF(ISNUMBER(SEARCH("Aut",H163)),K163, 0)</f>
        <v>0</v>
      </c>
      <c r="Y268" s="2">
        <f>IF(ISNUMBER(SEARCH("Tst",H163)),K163, 0)</f>
        <v>0.5</v>
      </c>
      <c r="Z268" s="2">
        <f>IF(ISNUMBER(SEARCH("Calc",H163)),K163, 0)</f>
        <v>0</v>
      </c>
    </row>
    <row r="269" spans="1:32" ht="25.5">
      <c r="A269" s="368"/>
      <c r="B269" s="368"/>
      <c r="C269" s="431"/>
      <c r="D269" s="368"/>
      <c r="E269" s="368"/>
      <c r="F269" s="243"/>
      <c r="G269" s="243" t="s">
        <v>149</v>
      </c>
      <c r="H269" s="240" t="s">
        <v>138</v>
      </c>
      <c r="I269" s="29"/>
      <c r="J269" s="240" t="s">
        <v>147</v>
      </c>
      <c r="K269" s="30">
        <f>L269+O269</f>
        <v>1</v>
      </c>
      <c r="L269" s="30">
        <f t="shared" si="230"/>
        <v>0</v>
      </c>
      <c r="M269" s="29"/>
      <c r="N269" s="29"/>
      <c r="O269" s="30">
        <f t="shared" si="231"/>
        <v>1</v>
      </c>
      <c r="P269" s="240"/>
      <c r="Q269" s="240">
        <v>2</v>
      </c>
      <c r="R269" s="25"/>
      <c r="S269" s="25"/>
      <c r="T269" s="25"/>
      <c r="U269" s="363"/>
      <c r="V269" s="77">
        <v>14</v>
      </c>
      <c r="W269" s="49"/>
      <c r="X269" s="2">
        <f>IF(ISNUMBER(SEARCH("Aut",#REF!)),#REF!, 0)</f>
        <v>0</v>
      </c>
      <c r="Y269" s="2">
        <f>IF(ISNUMBER(SEARCH("Tst",#REF!)),#REF!, 0)</f>
        <v>0</v>
      </c>
      <c r="Z269" s="2">
        <f>IF(ISNUMBER(SEARCH("Calc",#REF!)),#REF!, 0)</f>
        <v>0</v>
      </c>
    </row>
    <row r="270" spans="1:32" ht="38.25" customHeight="1">
      <c r="A270" s="368"/>
      <c r="B270" s="368"/>
      <c r="C270" s="431"/>
      <c r="D270" s="368"/>
      <c r="E270" s="368"/>
      <c r="F270" s="330"/>
      <c r="G270" s="328" t="s">
        <v>149</v>
      </c>
      <c r="H270" s="240" t="s">
        <v>61</v>
      </c>
      <c r="I270" s="29"/>
      <c r="J270" s="240" t="s">
        <v>126</v>
      </c>
      <c r="K270" s="30">
        <f>L270+O270</f>
        <v>1</v>
      </c>
      <c r="L270" s="30">
        <f t="shared" si="230"/>
        <v>0</v>
      </c>
      <c r="M270" s="29"/>
      <c r="N270" s="29"/>
      <c r="O270" s="30">
        <f t="shared" si="231"/>
        <v>1</v>
      </c>
      <c r="P270" s="240"/>
      <c r="Q270" s="240">
        <v>2</v>
      </c>
      <c r="R270" s="25"/>
      <c r="S270" s="25"/>
      <c r="T270" s="25"/>
      <c r="U270" s="363"/>
      <c r="V270" s="77">
        <v>14</v>
      </c>
      <c r="W270" s="49"/>
      <c r="X270" s="2">
        <f>IF(ISNUMBER(SEARCH("Aut",H262)),K262, 0)</f>
        <v>2</v>
      </c>
      <c r="Y270" s="2">
        <f>IF(ISNUMBER(SEARCH("Tst",H262)),K262, 0)</f>
        <v>2</v>
      </c>
      <c r="Z270" s="2">
        <f>IF(ISNUMBER(SEARCH("Calc",H262)),K262, 0)</f>
        <v>2</v>
      </c>
    </row>
    <row r="271" spans="1:32" ht="38.25" customHeight="1">
      <c r="A271" s="368"/>
      <c r="B271" s="368"/>
      <c r="C271" s="431"/>
      <c r="D271" s="368"/>
      <c r="E271" s="368"/>
      <c r="F271" s="243"/>
      <c r="G271" s="79" t="s">
        <v>148</v>
      </c>
      <c r="H271" s="286" t="s">
        <v>138</v>
      </c>
      <c r="I271" s="29"/>
      <c r="J271" s="286" t="s">
        <v>127</v>
      </c>
      <c r="K271" s="30">
        <f t="shared" ref="K271" si="232">L271+O271</f>
        <v>1</v>
      </c>
      <c r="L271" s="30">
        <f>IF(I271="m",(M271+N271)*2.5*V278/28,(M271+N271)*2*V278/28)</f>
        <v>0</v>
      </c>
      <c r="M271" s="29"/>
      <c r="N271" s="29"/>
      <c r="O271" s="30">
        <f t="shared" si="231"/>
        <v>1</v>
      </c>
      <c r="P271" s="286">
        <v>2</v>
      </c>
      <c r="Q271" s="286"/>
      <c r="R271" s="25"/>
      <c r="S271" s="25"/>
      <c r="T271" s="25"/>
      <c r="U271" s="363"/>
      <c r="V271" s="77">
        <v>14</v>
      </c>
      <c r="W271" s="49"/>
      <c r="X271" s="2">
        <f>IF(ISNUMBER(SEARCH("Aut",H300)),K300, 0)</f>
        <v>0</v>
      </c>
      <c r="Y271" s="2">
        <f>IF(ISNUMBER(SEARCH("Tst",H300)),K300, 0)</f>
        <v>0.5</v>
      </c>
      <c r="Z271" s="2">
        <f>IF(ISNUMBER(SEARCH("Calc",H300)),K300, 0)</f>
        <v>0</v>
      </c>
    </row>
    <row r="272" spans="1:32" ht="25.5" customHeight="1">
      <c r="A272" s="368"/>
      <c r="B272" s="368"/>
      <c r="C272" s="431"/>
      <c r="D272" s="368"/>
      <c r="E272" s="368"/>
      <c r="F272" s="243"/>
      <c r="G272" s="79" t="s">
        <v>148</v>
      </c>
      <c r="H272" s="240" t="s">
        <v>61</v>
      </c>
      <c r="I272" s="29"/>
      <c r="J272" s="240" t="s">
        <v>129</v>
      </c>
      <c r="K272" s="30">
        <f>L272+O272</f>
        <v>1</v>
      </c>
      <c r="L272" s="30">
        <f t="shared" si="230"/>
        <v>0</v>
      </c>
      <c r="M272" s="29"/>
      <c r="N272" s="29"/>
      <c r="O272" s="30">
        <f t="shared" si="231"/>
        <v>1</v>
      </c>
      <c r="P272" s="29">
        <v>2</v>
      </c>
      <c r="Q272" s="29"/>
      <c r="R272" s="25"/>
      <c r="S272" s="25"/>
      <c r="T272" s="25"/>
      <c r="U272" s="363"/>
      <c r="V272" s="77">
        <v>14</v>
      </c>
      <c r="W272" s="49"/>
      <c r="X272" s="2">
        <f>IF(ISNUMBER(SEARCH("Aut",H107)),K107, 0)</f>
        <v>1</v>
      </c>
      <c r="Y272" s="2">
        <f>IF(ISNUMBER(SEARCH("Tst",H107)),K107, 0)</f>
        <v>0</v>
      </c>
      <c r="Z272" s="2">
        <f>IF(ISNUMBER(SEARCH("Calc",H107)),K107, 0)</f>
        <v>0</v>
      </c>
    </row>
    <row r="273" spans="1:29" ht="26.25" thickBot="1">
      <c r="A273" s="368"/>
      <c r="B273" s="368"/>
      <c r="C273" s="431"/>
      <c r="D273" s="368"/>
      <c r="E273" s="368"/>
      <c r="F273" s="243"/>
      <c r="G273" s="79" t="s">
        <v>148</v>
      </c>
      <c r="H273" s="286" t="s">
        <v>55</v>
      </c>
      <c r="I273" s="29"/>
      <c r="J273" s="286" t="s">
        <v>127</v>
      </c>
      <c r="K273" s="30">
        <f>L273+O273</f>
        <v>2</v>
      </c>
      <c r="L273" s="30">
        <f>IF(I273="m",(M273+N273)*2.5*V291/28,(M273+N273)*2*V290/28)</f>
        <v>0</v>
      </c>
      <c r="M273" s="29"/>
      <c r="N273" s="29"/>
      <c r="O273" s="30">
        <f t="shared" si="231"/>
        <v>2</v>
      </c>
      <c r="P273" s="29">
        <v>4</v>
      </c>
      <c r="Q273" s="29"/>
      <c r="R273" s="25"/>
      <c r="S273" s="25"/>
      <c r="T273" s="25"/>
      <c r="U273" s="363"/>
      <c r="V273" s="77">
        <v>14</v>
      </c>
      <c r="W273" s="49"/>
    </row>
    <row r="274" spans="1:29" ht="12.75" customHeight="1">
      <c r="A274" s="367">
        <v>27</v>
      </c>
      <c r="B274" s="367" t="s">
        <v>155</v>
      </c>
      <c r="C274" s="367" t="s">
        <v>118</v>
      </c>
      <c r="D274" s="367"/>
      <c r="E274" s="367"/>
      <c r="F274" s="367"/>
      <c r="G274" s="376"/>
      <c r="H274" s="376"/>
      <c r="I274" s="375"/>
      <c r="J274" s="127">
        <v>16</v>
      </c>
      <c r="K274" s="131">
        <f t="shared" ref="K274:Q274" si="233">SUM(K276:K292)</f>
        <v>16</v>
      </c>
      <c r="L274" s="364">
        <f t="shared" si="233"/>
        <v>0</v>
      </c>
      <c r="M274" s="364">
        <f t="shared" si="233"/>
        <v>0</v>
      </c>
      <c r="N274" s="364">
        <f t="shared" si="233"/>
        <v>0</v>
      </c>
      <c r="O274" s="364">
        <f t="shared" si="233"/>
        <v>16</v>
      </c>
      <c r="P274" s="364">
        <f t="shared" si="233"/>
        <v>18</v>
      </c>
      <c r="Q274" s="364">
        <f t="shared" si="233"/>
        <v>14</v>
      </c>
      <c r="R274" s="128">
        <f>J274-K274</f>
        <v>0</v>
      </c>
      <c r="S274" s="233">
        <f>S275/28</f>
        <v>0</v>
      </c>
      <c r="T274" s="112"/>
      <c r="U274" s="234"/>
      <c r="V274" s="211">
        <v>14</v>
      </c>
      <c r="W274" s="237"/>
      <c r="X274" s="2">
        <f t="shared" ref="X274:X321" si="234">IF(ISNUMBER(SEARCH("Aut",H274)),K274, 0)</f>
        <v>0</v>
      </c>
      <c r="Y274" s="2">
        <f t="shared" ref="Y274:Y321" si="235">IF(ISNUMBER(SEARCH("Tst",H274)),K274, 0)</f>
        <v>0</v>
      </c>
      <c r="Z274" s="2">
        <f t="shared" ref="Z274:Z321" si="236">IF(ISNUMBER(SEARCH("Calc",H274)),K274, 0)</f>
        <v>0</v>
      </c>
      <c r="AA274" s="2">
        <f t="shared" ref="AA274:AA315" si="237">SUM(X274:X278)</f>
        <v>1.5</v>
      </c>
      <c r="AB274" s="2">
        <f t="shared" ref="AB274:AB315" si="238">SUM(Y274:Y278)</f>
        <v>0</v>
      </c>
      <c r="AC274" s="2">
        <f t="shared" ref="AC274:AC315" si="239">SUM(Z274:Z278)</f>
        <v>0.5</v>
      </c>
    </row>
    <row r="275" spans="1:29" ht="13.5" customHeight="1" thickBot="1">
      <c r="A275" s="368"/>
      <c r="B275" s="368"/>
      <c r="C275" s="368"/>
      <c r="D275" s="368"/>
      <c r="E275" s="368"/>
      <c r="F275" s="381"/>
      <c r="G275" s="370"/>
      <c r="H275" s="371"/>
      <c r="I275" s="373"/>
      <c r="J275" s="129">
        <v>448</v>
      </c>
      <c r="K275" s="132">
        <f>K274*28</f>
        <v>448</v>
      </c>
      <c r="L275" s="361"/>
      <c r="M275" s="361"/>
      <c r="N275" s="361"/>
      <c r="O275" s="361"/>
      <c r="P275" s="361"/>
      <c r="Q275" s="361"/>
      <c r="R275" s="126">
        <f>J275-K275</f>
        <v>0</v>
      </c>
      <c r="S275" s="108">
        <f>SUM(S276:S292)</f>
        <v>0</v>
      </c>
      <c r="T275" s="16"/>
      <c r="U275" s="234"/>
      <c r="V275" s="77">
        <v>14</v>
      </c>
      <c r="W275" s="237"/>
      <c r="X275" s="2">
        <f t="shared" si="234"/>
        <v>0</v>
      </c>
      <c r="Y275" s="2">
        <f t="shared" si="235"/>
        <v>0</v>
      </c>
      <c r="Z275" s="2">
        <f t="shared" si="236"/>
        <v>0</v>
      </c>
    </row>
    <row r="276" spans="1:29" ht="25.5" customHeight="1">
      <c r="A276" s="368"/>
      <c r="B276" s="368"/>
      <c r="C276" s="368"/>
      <c r="D276" s="368"/>
      <c r="E276" s="368"/>
      <c r="F276" s="62"/>
      <c r="G276" s="322" t="s">
        <v>122</v>
      </c>
      <c r="H276" s="291" t="s">
        <v>55</v>
      </c>
      <c r="I276" s="298"/>
      <c r="J276" s="291" t="s">
        <v>129</v>
      </c>
      <c r="K276" s="30">
        <f t="shared" ref="K276:K278" si="240">L276+O276</f>
        <v>1</v>
      </c>
      <c r="L276" s="30">
        <f t="shared" ref="L276:L292" si="241">IF(I276="m",(M276+N276)*2.5*V277/28,(M276+N276)*2*V276/28)</f>
        <v>0</v>
      </c>
      <c r="M276" s="326"/>
      <c r="N276" s="326"/>
      <c r="O276" s="30">
        <f t="shared" ref="O276:O292" si="242">IF(I276="m",(P276+Q276)*1.5*V276/28,(P276+Q276)*1*V276/28)</f>
        <v>1</v>
      </c>
      <c r="P276" s="326">
        <v>2</v>
      </c>
      <c r="Q276" s="326"/>
      <c r="R276" s="25"/>
      <c r="S276" s="25"/>
      <c r="T276" s="25"/>
      <c r="U276" s="234"/>
      <c r="V276" s="77">
        <v>14</v>
      </c>
      <c r="W276" s="237"/>
      <c r="X276" s="2">
        <f t="shared" ref="X276:X289" si="243">IF(ISNUMBER(SEARCH("Aut",H276)),K276, 0)</f>
        <v>1</v>
      </c>
      <c r="Y276" s="2">
        <f t="shared" ref="Y276:Y289" si="244">IF(ISNUMBER(SEARCH("Tst",H276)),K276, 0)</f>
        <v>0</v>
      </c>
      <c r="Z276" s="2">
        <f t="shared" ref="Z276:Z289" si="245">IF(ISNUMBER(SEARCH("Calc",H276)),K276, 0)</f>
        <v>0</v>
      </c>
    </row>
    <row r="277" spans="1:29" ht="12.75" customHeight="1">
      <c r="A277" s="368"/>
      <c r="B277" s="368"/>
      <c r="C277" s="368"/>
      <c r="D277" s="368"/>
      <c r="E277" s="368"/>
      <c r="F277" s="62"/>
      <c r="G277" s="285" t="s">
        <v>124</v>
      </c>
      <c r="H277" s="240" t="s">
        <v>61</v>
      </c>
      <c r="I277" s="29"/>
      <c r="J277" s="240" t="s">
        <v>139</v>
      </c>
      <c r="K277" s="30">
        <f t="shared" si="240"/>
        <v>0.5</v>
      </c>
      <c r="L277" s="30">
        <f t="shared" si="241"/>
        <v>0</v>
      </c>
      <c r="M277" s="29"/>
      <c r="N277" s="29"/>
      <c r="O277" s="30">
        <f t="shared" si="242"/>
        <v>0.5</v>
      </c>
      <c r="P277" s="29">
        <v>1</v>
      </c>
      <c r="Q277" s="29"/>
      <c r="R277" s="25"/>
      <c r="S277" s="25"/>
      <c r="T277" s="25"/>
      <c r="U277" s="234"/>
      <c r="V277" s="77">
        <v>14</v>
      </c>
      <c r="W277" s="237"/>
      <c r="X277" s="2">
        <f t="shared" si="243"/>
        <v>0</v>
      </c>
      <c r="Y277" s="2">
        <f t="shared" si="244"/>
        <v>0</v>
      </c>
      <c r="Z277" s="2">
        <f t="shared" si="245"/>
        <v>0.5</v>
      </c>
    </row>
    <row r="278" spans="1:29" ht="12.75" customHeight="1">
      <c r="A278" s="368"/>
      <c r="B278" s="368"/>
      <c r="C278" s="368"/>
      <c r="D278" s="368"/>
      <c r="E278" s="368"/>
      <c r="F278" s="62"/>
      <c r="G278" s="285" t="s">
        <v>124</v>
      </c>
      <c r="H278" s="240" t="s">
        <v>55</v>
      </c>
      <c r="I278" s="29"/>
      <c r="J278" s="240" t="s">
        <v>139</v>
      </c>
      <c r="K278" s="30">
        <f t="shared" si="240"/>
        <v>0.5</v>
      </c>
      <c r="L278" s="30">
        <f t="shared" si="241"/>
        <v>0</v>
      </c>
      <c r="M278" s="29"/>
      <c r="N278" s="29"/>
      <c r="O278" s="30">
        <f t="shared" si="242"/>
        <v>0.5</v>
      </c>
      <c r="P278" s="29">
        <v>1</v>
      </c>
      <c r="Q278" s="29"/>
      <c r="R278" s="25"/>
      <c r="S278" s="25"/>
      <c r="T278" s="25"/>
      <c r="U278" s="234"/>
      <c r="V278" s="77">
        <v>14</v>
      </c>
      <c r="W278" s="237"/>
      <c r="X278" s="2">
        <f t="shared" si="243"/>
        <v>0.5</v>
      </c>
      <c r="Y278" s="2">
        <f t="shared" si="244"/>
        <v>0</v>
      </c>
      <c r="Z278" s="2">
        <f t="shared" si="245"/>
        <v>0</v>
      </c>
    </row>
    <row r="279" spans="1:29">
      <c r="A279" s="368"/>
      <c r="B279" s="368"/>
      <c r="C279" s="368"/>
      <c r="D279" s="368"/>
      <c r="E279" s="368"/>
      <c r="F279" s="62"/>
      <c r="G279" s="311" t="s">
        <v>171</v>
      </c>
      <c r="H279" s="240" t="s">
        <v>55</v>
      </c>
      <c r="I279" s="29"/>
      <c r="J279" s="240" t="s">
        <v>129</v>
      </c>
      <c r="K279" s="30">
        <f t="shared" ref="K279:K281" si="246">L279+O279</f>
        <v>1</v>
      </c>
      <c r="L279" s="30">
        <f t="shared" si="241"/>
        <v>0</v>
      </c>
      <c r="M279" s="29"/>
      <c r="N279" s="29"/>
      <c r="O279" s="30">
        <f t="shared" si="242"/>
        <v>1</v>
      </c>
      <c r="P279" s="29"/>
      <c r="Q279" s="29">
        <v>2</v>
      </c>
      <c r="R279" s="16"/>
      <c r="S279" s="16"/>
      <c r="T279" s="25"/>
      <c r="U279" s="234"/>
      <c r="V279" s="77">
        <v>14</v>
      </c>
      <c r="W279" s="237"/>
      <c r="X279" s="2">
        <f t="shared" si="243"/>
        <v>1</v>
      </c>
      <c r="Y279" s="2">
        <f t="shared" si="244"/>
        <v>0</v>
      </c>
      <c r="Z279" s="2">
        <f t="shared" si="245"/>
        <v>0</v>
      </c>
    </row>
    <row r="280" spans="1:29" ht="24.75" customHeight="1">
      <c r="A280" s="368"/>
      <c r="B280" s="368"/>
      <c r="C280" s="368"/>
      <c r="D280" s="368"/>
      <c r="E280" s="368"/>
      <c r="F280" s="62"/>
      <c r="G280" s="285" t="s">
        <v>136</v>
      </c>
      <c r="H280" s="240" t="s">
        <v>61</v>
      </c>
      <c r="I280" s="29"/>
      <c r="J280" s="240" t="s">
        <v>130</v>
      </c>
      <c r="K280" s="30">
        <f t="shared" si="246"/>
        <v>1</v>
      </c>
      <c r="L280" s="30">
        <f t="shared" si="241"/>
        <v>0</v>
      </c>
      <c r="M280" s="29"/>
      <c r="N280" s="29"/>
      <c r="O280" s="30">
        <f t="shared" si="242"/>
        <v>1</v>
      </c>
      <c r="P280" s="29"/>
      <c r="Q280" s="29">
        <v>2</v>
      </c>
      <c r="R280" s="49"/>
      <c r="S280" s="49"/>
      <c r="T280" s="25"/>
      <c r="U280" s="234"/>
      <c r="V280" s="77">
        <v>14</v>
      </c>
      <c r="W280" s="237"/>
      <c r="X280" s="2">
        <f t="shared" si="243"/>
        <v>0</v>
      </c>
      <c r="Y280" s="2">
        <f t="shared" si="244"/>
        <v>0</v>
      </c>
      <c r="Z280" s="2">
        <f t="shared" si="245"/>
        <v>1</v>
      </c>
    </row>
    <row r="281" spans="1:29" ht="12.75" customHeight="1">
      <c r="A281" s="368"/>
      <c r="B281" s="368"/>
      <c r="C281" s="368"/>
      <c r="D281" s="368"/>
      <c r="E281" s="368"/>
      <c r="F281" s="62"/>
      <c r="G281" s="285" t="s">
        <v>124</v>
      </c>
      <c r="H281" s="240" t="s">
        <v>138</v>
      </c>
      <c r="I281" s="29"/>
      <c r="J281" s="240" t="s">
        <v>139</v>
      </c>
      <c r="K281" s="30">
        <f t="shared" si="246"/>
        <v>0.5</v>
      </c>
      <c r="L281" s="30">
        <f t="shared" si="241"/>
        <v>0</v>
      </c>
      <c r="M281" s="29"/>
      <c r="N281" s="29"/>
      <c r="O281" s="30">
        <f t="shared" si="242"/>
        <v>0.5</v>
      </c>
      <c r="P281" s="29">
        <v>1</v>
      </c>
      <c r="Q281" s="29"/>
      <c r="R281" s="25"/>
      <c r="S281" s="25"/>
      <c r="T281" s="25"/>
      <c r="U281" s="234"/>
      <c r="V281" s="77">
        <v>14</v>
      </c>
      <c r="W281" s="237"/>
      <c r="X281" s="2">
        <f t="shared" si="243"/>
        <v>0</v>
      </c>
      <c r="Y281" s="2">
        <f t="shared" si="244"/>
        <v>0</v>
      </c>
      <c r="Z281" s="2">
        <f t="shared" si="245"/>
        <v>0</v>
      </c>
    </row>
    <row r="282" spans="1:29" ht="12.75" customHeight="1">
      <c r="A282" s="368"/>
      <c r="B282" s="368"/>
      <c r="C282" s="368"/>
      <c r="D282" s="368"/>
      <c r="E282" s="368"/>
      <c r="F282" s="120"/>
      <c r="G282" s="285" t="s">
        <v>136</v>
      </c>
      <c r="H282" s="240" t="s">
        <v>146</v>
      </c>
      <c r="I282" s="29"/>
      <c r="J282" s="240" t="s">
        <v>65</v>
      </c>
      <c r="K282" s="310">
        <f t="shared" ref="K282:K292" si="247">L282+O282</f>
        <v>0.5</v>
      </c>
      <c r="L282" s="30">
        <f t="shared" si="241"/>
        <v>0</v>
      </c>
      <c r="M282" s="29"/>
      <c r="N282" s="29"/>
      <c r="O282" s="30">
        <f t="shared" si="242"/>
        <v>0.5</v>
      </c>
      <c r="P282" s="240"/>
      <c r="Q282" s="240">
        <v>1</v>
      </c>
      <c r="R282" s="25"/>
      <c r="S282" s="25"/>
      <c r="T282" s="25"/>
      <c r="U282" s="247"/>
      <c r="V282" s="77">
        <v>14</v>
      </c>
      <c r="W282" s="237"/>
      <c r="X282" s="2">
        <f t="shared" si="243"/>
        <v>0</v>
      </c>
      <c r="Y282" s="2">
        <f t="shared" si="244"/>
        <v>0</v>
      </c>
      <c r="Z282" s="2">
        <f t="shared" si="245"/>
        <v>0</v>
      </c>
    </row>
    <row r="283" spans="1:29" ht="12.75" customHeight="1">
      <c r="A283" s="368"/>
      <c r="B283" s="368"/>
      <c r="C283" s="368"/>
      <c r="D283" s="368"/>
      <c r="E283" s="368"/>
      <c r="F283" s="120"/>
      <c r="G283" s="285" t="s">
        <v>136</v>
      </c>
      <c r="H283" s="240" t="s">
        <v>138</v>
      </c>
      <c r="I283" s="29"/>
      <c r="J283" s="240" t="s">
        <v>130</v>
      </c>
      <c r="K283" s="30">
        <f t="shared" si="247"/>
        <v>1</v>
      </c>
      <c r="L283" s="30">
        <f t="shared" si="241"/>
        <v>0</v>
      </c>
      <c r="M283" s="29"/>
      <c r="N283" s="29"/>
      <c r="O283" s="30">
        <f t="shared" si="242"/>
        <v>1</v>
      </c>
      <c r="P283" s="240"/>
      <c r="Q283" s="240">
        <v>2</v>
      </c>
      <c r="R283" s="25"/>
      <c r="S283" s="25"/>
      <c r="T283" s="25"/>
      <c r="U283" s="278"/>
      <c r="V283" s="77">
        <v>14</v>
      </c>
      <c r="W283" s="237"/>
      <c r="X283" s="2">
        <f t="shared" si="243"/>
        <v>0</v>
      </c>
      <c r="Y283" s="2">
        <f t="shared" si="244"/>
        <v>0</v>
      </c>
      <c r="Z283" s="2">
        <f t="shared" si="245"/>
        <v>0</v>
      </c>
    </row>
    <row r="284" spans="1:29" ht="12.75" customHeight="1">
      <c r="A284" s="368"/>
      <c r="B284" s="368"/>
      <c r="C284" s="368"/>
      <c r="D284" s="368"/>
      <c r="E284" s="368"/>
      <c r="F284" s="120"/>
      <c r="G284" s="285" t="s">
        <v>136</v>
      </c>
      <c r="H284" s="240" t="s">
        <v>138</v>
      </c>
      <c r="I284" s="29"/>
      <c r="J284" s="240" t="s">
        <v>64</v>
      </c>
      <c r="K284" s="310">
        <f t="shared" si="247"/>
        <v>0.5</v>
      </c>
      <c r="L284" s="30">
        <f t="shared" si="241"/>
        <v>0</v>
      </c>
      <c r="M284" s="29"/>
      <c r="N284" s="29"/>
      <c r="O284" s="30">
        <f t="shared" si="242"/>
        <v>0.5</v>
      </c>
      <c r="P284" s="240"/>
      <c r="Q284" s="240">
        <v>1</v>
      </c>
      <c r="R284" s="25"/>
      <c r="S284" s="25"/>
      <c r="T284" s="25"/>
      <c r="U284" s="278"/>
      <c r="V284" s="77">
        <v>14</v>
      </c>
      <c r="W284" s="237"/>
      <c r="X284" s="2">
        <f t="shared" si="243"/>
        <v>0</v>
      </c>
      <c r="Y284" s="2">
        <f t="shared" si="244"/>
        <v>0</v>
      </c>
      <c r="Z284" s="2">
        <f t="shared" si="245"/>
        <v>0</v>
      </c>
    </row>
    <row r="285" spans="1:29" ht="12.75" customHeight="1">
      <c r="A285" s="368"/>
      <c r="B285" s="368"/>
      <c r="C285" s="368"/>
      <c r="D285" s="368"/>
      <c r="E285" s="368"/>
      <c r="F285" s="120"/>
      <c r="G285" s="305" t="s">
        <v>171</v>
      </c>
      <c r="H285" s="291" t="s">
        <v>61</v>
      </c>
      <c r="I285" s="29"/>
      <c r="J285" s="291" t="s">
        <v>147</v>
      </c>
      <c r="K285" s="30">
        <f t="shared" si="247"/>
        <v>1</v>
      </c>
      <c r="L285" s="30">
        <f t="shared" si="241"/>
        <v>0</v>
      </c>
      <c r="M285" s="29"/>
      <c r="N285" s="29"/>
      <c r="O285" s="30">
        <f t="shared" si="242"/>
        <v>1</v>
      </c>
      <c r="P285" s="291"/>
      <c r="Q285" s="291">
        <v>2</v>
      </c>
      <c r="R285" s="25"/>
      <c r="S285" s="25"/>
      <c r="T285" s="25"/>
      <c r="U285" s="278"/>
      <c r="V285" s="77">
        <v>14</v>
      </c>
      <c r="W285" s="237"/>
      <c r="X285" s="2">
        <f t="shared" si="243"/>
        <v>0</v>
      </c>
      <c r="Y285" s="2">
        <f t="shared" si="244"/>
        <v>0</v>
      </c>
      <c r="Z285" s="2">
        <f t="shared" si="245"/>
        <v>1</v>
      </c>
    </row>
    <row r="286" spans="1:29" ht="12.75" customHeight="1">
      <c r="A286" s="368"/>
      <c r="B286" s="368"/>
      <c r="C286" s="368"/>
      <c r="D286" s="368"/>
      <c r="E286" s="368"/>
      <c r="F286" s="120"/>
      <c r="G286" s="285" t="s">
        <v>124</v>
      </c>
      <c r="H286" s="240" t="s">
        <v>138</v>
      </c>
      <c r="I286" s="29"/>
      <c r="J286" s="240" t="s">
        <v>147</v>
      </c>
      <c r="K286" s="30">
        <f t="shared" si="247"/>
        <v>0.5</v>
      </c>
      <c r="L286" s="30">
        <f t="shared" si="241"/>
        <v>0</v>
      </c>
      <c r="M286" s="29"/>
      <c r="N286" s="29"/>
      <c r="O286" s="30">
        <f t="shared" si="242"/>
        <v>0.5</v>
      </c>
      <c r="P286" s="240">
        <v>1</v>
      </c>
      <c r="Q286" s="240"/>
      <c r="R286" s="25"/>
      <c r="S286" s="25"/>
      <c r="T286" s="25"/>
      <c r="U286" s="278"/>
      <c r="V286" s="77">
        <v>14</v>
      </c>
      <c r="W286" s="237"/>
      <c r="X286" s="2">
        <f t="shared" si="243"/>
        <v>0</v>
      </c>
      <c r="Y286" s="2">
        <f t="shared" si="244"/>
        <v>0</v>
      </c>
      <c r="Z286" s="2">
        <f t="shared" si="245"/>
        <v>0</v>
      </c>
    </row>
    <row r="287" spans="1:29" ht="12.75" customHeight="1">
      <c r="A287" s="368"/>
      <c r="B287" s="368"/>
      <c r="C287" s="368"/>
      <c r="D287" s="368"/>
      <c r="E287" s="368"/>
      <c r="F287" s="255"/>
      <c r="G287" s="285" t="s">
        <v>124</v>
      </c>
      <c r="H287" s="240" t="s">
        <v>61</v>
      </c>
      <c r="I287" s="298"/>
      <c r="J287" s="240" t="s">
        <v>126</v>
      </c>
      <c r="K287" s="30">
        <f t="shared" si="247"/>
        <v>1</v>
      </c>
      <c r="L287" s="30">
        <f t="shared" si="241"/>
        <v>0</v>
      </c>
      <c r="M287" s="29"/>
      <c r="N287" s="29"/>
      <c r="O287" s="30">
        <f t="shared" si="242"/>
        <v>1</v>
      </c>
      <c r="P287" s="29">
        <v>2</v>
      </c>
      <c r="Q287" s="29"/>
      <c r="R287" s="25"/>
      <c r="S287" s="25"/>
      <c r="T287" s="25"/>
      <c r="U287" s="247"/>
      <c r="V287" s="77">
        <v>14</v>
      </c>
      <c r="W287" s="237"/>
      <c r="X287" s="2">
        <f t="shared" si="243"/>
        <v>0</v>
      </c>
      <c r="Y287" s="2">
        <f t="shared" si="244"/>
        <v>0</v>
      </c>
      <c r="Z287" s="2">
        <f t="shared" si="245"/>
        <v>1</v>
      </c>
    </row>
    <row r="288" spans="1:29">
      <c r="A288" s="368"/>
      <c r="B288" s="368"/>
      <c r="C288" s="368"/>
      <c r="D288" s="368"/>
      <c r="E288" s="368"/>
      <c r="F288" s="255"/>
      <c r="G288" s="285" t="s">
        <v>170</v>
      </c>
      <c r="H288" s="240" t="s">
        <v>61</v>
      </c>
      <c r="I288" s="29"/>
      <c r="J288" s="240" t="s">
        <v>129</v>
      </c>
      <c r="K288" s="30">
        <f t="shared" si="247"/>
        <v>1</v>
      </c>
      <c r="L288" s="30">
        <f t="shared" si="241"/>
        <v>0</v>
      </c>
      <c r="M288" s="29"/>
      <c r="N288" s="29"/>
      <c r="O288" s="30">
        <f t="shared" si="242"/>
        <v>1</v>
      </c>
      <c r="P288" s="29">
        <v>2</v>
      </c>
      <c r="Q288" s="29"/>
      <c r="R288" s="49"/>
      <c r="S288" s="49"/>
      <c r="T288" s="25"/>
      <c r="U288" s="234"/>
      <c r="V288" s="77">
        <v>14</v>
      </c>
      <c r="W288" s="237"/>
      <c r="X288" s="2">
        <f t="shared" si="243"/>
        <v>0</v>
      </c>
      <c r="Y288" s="2">
        <f t="shared" si="244"/>
        <v>0</v>
      </c>
      <c r="Z288" s="2">
        <f t="shared" si="245"/>
        <v>1</v>
      </c>
    </row>
    <row r="289" spans="1:29" ht="27.75" customHeight="1">
      <c r="A289" s="368"/>
      <c r="B289" s="368"/>
      <c r="C289" s="368"/>
      <c r="D289" s="368"/>
      <c r="E289" s="368"/>
      <c r="F289" s="120"/>
      <c r="G289" s="285" t="s">
        <v>56</v>
      </c>
      <c r="H289" s="240" t="s">
        <v>55</v>
      </c>
      <c r="I289" s="29"/>
      <c r="J289" s="240" t="s">
        <v>129</v>
      </c>
      <c r="K289" s="30">
        <f t="shared" si="247"/>
        <v>1</v>
      </c>
      <c r="L289" s="30">
        <f t="shared" si="241"/>
        <v>0</v>
      </c>
      <c r="M289" s="29"/>
      <c r="N289" s="29"/>
      <c r="O289" s="30">
        <f t="shared" si="242"/>
        <v>1</v>
      </c>
      <c r="P289" s="29"/>
      <c r="Q289" s="29">
        <v>2</v>
      </c>
      <c r="R289" s="49"/>
      <c r="S289" s="49"/>
      <c r="T289" s="25"/>
      <c r="U289" s="247"/>
      <c r="V289" s="77">
        <v>14</v>
      </c>
      <c r="W289" s="237"/>
      <c r="X289" s="2">
        <f t="shared" si="243"/>
        <v>1</v>
      </c>
      <c r="Y289" s="2">
        <f t="shared" si="244"/>
        <v>0</v>
      </c>
      <c r="Z289" s="2">
        <f t="shared" si="245"/>
        <v>0</v>
      </c>
    </row>
    <row r="290" spans="1:29" ht="25.5" customHeight="1">
      <c r="A290" s="368"/>
      <c r="B290" s="368"/>
      <c r="C290" s="368"/>
      <c r="D290" s="368"/>
      <c r="E290" s="368"/>
      <c r="F290" s="120"/>
      <c r="G290" s="285" t="s">
        <v>197</v>
      </c>
      <c r="H290" s="240" t="s">
        <v>177</v>
      </c>
      <c r="I290" s="29"/>
      <c r="J290" s="240" t="s">
        <v>126</v>
      </c>
      <c r="K290" s="30">
        <f t="shared" si="247"/>
        <v>2</v>
      </c>
      <c r="L290" s="30">
        <f t="shared" si="241"/>
        <v>0</v>
      </c>
      <c r="M290" s="29"/>
      <c r="N290" s="29"/>
      <c r="O290" s="30">
        <f t="shared" si="242"/>
        <v>2</v>
      </c>
      <c r="P290" s="240">
        <v>4</v>
      </c>
      <c r="Q290" s="240"/>
      <c r="R290" s="49"/>
      <c r="S290" s="49"/>
      <c r="T290" s="25"/>
      <c r="U290" s="247"/>
      <c r="V290" s="77">
        <v>14</v>
      </c>
      <c r="W290" s="237"/>
      <c r="X290" s="2">
        <f t="shared" ref="X290:X292" si="248">IF(ISNUMBER(SEARCH("Aut",H290)),K290, 0)</f>
        <v>0</v>
      </c>
      <c r="Y290" s="2">
        <f t="shared" ref="Y290:Y292" si="249">IF(ISNUMBER(SEARCH("Tst",H290)),K290, 0)</f>
        <v>0</v>
      </c>
      <c r="Z290" s="2">
        <f t="shared" ref="Z290:Z292" si="250">IF(ISNUMBER(SEARCH("Calc",H290)),K290, 0)</f>
        <v>0</v>
      </c>
    </row>
    <row r="291" spans="1:29" ht="12.75" customHeight="1">
      <c r="A291" s="368"/>
      <c r="B291" s="368"/>
      <c r="C291" s="368"/>
      <c r="D291" s="368"/>
      <c r="E291" s="368"/>
      <c r="F291" s="120"/>
      <c r="G291" s="285" t="s">
        <v>250</v>
      </c>
      <c r="H291" s="240" t="s">
        <v>55</v>
      </c>
      <c r="I291" s="29"/>
      <c r="J291" s="240" t="s">
        <v>126</v>
      </c>
      <c r="K291" s="30">
        <f t="shared" si="247"/>
        <v>2</v>
      </c>
      <c r="L291" s="30">
        <f t="shared" si="241"/>
        <v>0</v>
      </c>
      <c r="M291" s="29"/>
      <c r="N291" s="29"/>
      <c r="O291" s="30">
        <f t="shared" si="242"/>
        <v>2</v>
      </c>
      <c r="P291" s="240">
        <v>4</v>
      </c>
      <c r="Q291" s="240"/>
      <c r="R291" s="49"/>
      <c r="S291" s="49"/>
      <c r="T291" s="25"/>
      <c r="U291" s="247"/>
      <c r="V291" s="77">
        <v>14</v>
      </c>
      <c r="W291" s="237"/>
      <c r="X291" s="2">
        <f t="shared" si="248"/>
        <v>2</v>
      </c>
      <c r="Y291" s="2">
        <f t="shared" si="249"/>
        <v>0</v>
      </c>
      <c r="Z291" s="2">
        <f t="shared" si="250"/>
        <v>0</v>
      </c>
    </row>
    <row r="292" spans="1:29" ht="13.5" customHeight="1" thickBot="1">
      <c r="A292" s="368"/>
      <c r="B292" s="368"/>
      <c r="C292" s="368"/>
      <c r="D292" s="368"/>
      <c r="E292" s="368"/>
      <c r="F292" s="57"/>
      <c r="G292" s="285" t="s">
        <v>56</v>
      </c>
      <c r="H292" s="240" t="s">
        <v>55</v>
      </c>
      <c r="I292" s="29"/>
      <c r="J292" s="240" t="s">
        <v>129</v>
      </c>
      <c r="K292" s="30">
        <f t="shared" si="247"/>
        <v>1</v>
      </c>
      <c r="L292" s="30">
        <f t="shared" si="241"/>
        <v>0</v>
      </c>
      <c r="M292" s="29"/>
      <c r="N292" s="29"/>
      <c r="O292" s="30">
        <f t="shared" si="242"/>
        <v>1</v>
      </c>
      <c r="P292" s="29"/>
      <c r="Q292" s="29">
        <v>2</v>
      </c>
      <c r="R292" s="25"/>
      <c r="S292" s="25"/>
      <c r="T292" s="25"/>
      <c r="U292" s="234"/>
      <c r="V292" s="77">
        <v>14</v>
      </c>
      <c r="W292" s="237"/>
      <c r="X292" s="2">
        <f t="shared" si="248"/>
        <v>1</v>
      </c>
      <c r="Y292" s="2">
        <f t="shared" si="249"/>
        <v>0</v>
      </c>
      <c r="Z292" s="2">
        <f t="shared" si="250"/>
        <v>0</v>
      </c>
    </row>
    <row r="293" spans="1:29" ht="12.75" customHeight="1">
      <c r="A293" s="367">
        <v>28</v>
      </c>
      <c r="B293" s="367" t="s">
        <v>25</v>
      </c>
      <c r="C293" s="367"/>
      <c r="D293" s="367" t="s">
        <v>25</v>
      </c>
      <c r="E293" s="367" t="s">
        <v>283</v>
      </c>
      <c r="F293" s="381" t="s">
        <v>195</v>
      </c>
      <c r="G293" s="376"/>
      <c r="H293" s="376"/>
      <c r="I293" s="375"/>
      <c r="J293" s="127">
        <v>16</v>
      </c>
      <c r="K293" s="131">
        <f>SUM(K295:K305)</f>
        <v>12.5</v>
      </c>
      <c r="L293" s="364">
        <f t="shared" ref="L293:Q293" si="251">SUM(L295:L305)</f>
        <v>0</v>
      </c>
      <c r="M293" s="364">
        <f t="shared" si="251"/>
        <v>0</v>
      </c>
      <c r="N293" s="364">
        <f t="shared" si="251"/>
        <v>0</v>
      </c>
      <c r="O293" s="364">
        <f t="shared" si="251"/>
        <v>12.5</v>
      </c>
      <c r="P293" s="364">
        <f t="shared" si="251"/>
        <v>15</v>
      </c>
      <c r="Q293" s="365">
        <f t="shared" si="251"/>
        <v>10</v>
      </c>
      <c r="R293" s="128">
        <f>J293-K293</f>
        <v>3.5</v>
      </c>
      <c r="S293" s="233">
        <f>S294/28</f>
        <v>4.5</v>
      </c>
      <c r="T293" s="233"/>
      <c r="U293" s="362"/>
      <c r="V293" s="209"/>
      <c r="W293" s="106"/>
      <c r="X293" s="2">
        <f t="shared" si="234"/>
        <v>0</v>
      </c>
      <c r="Y293" s="2">
        <f t="shared" si="235"/>
        <v>0</v>
      </c>
      <c r="Z293" s="2">
        <f t="shared" si="236"/>
        <v>0</v>
      </c>
      <c r="AA293" s="2">
        <f t="shared" si="237"/>
        <v>0</v>
      </c>
      <c r="AB293" s="2">
        <f t="shared" si="238"/>
        <v>0</v>
      </c>
      <c r="AC293" s="2">
        <f t="shared" si="239"/>
        <v>2</v>
      </c>
    </row>
    <row r="294" spans="1:29" ht="13.5" customHeight="1" thickBot="1">
      <c r="A294" s="368"/>
      <c r="B294" s="368"/>
      <c r="C294" s="368"/>
      <c r="D294" s="368"/>
      <c r="E294" s="368"/>
      <c r="F294" s="381"/>
      <c r="G294" s="370"/>
      <c r="H294" s="371"/>
      <c r="I294" s="373"/>
      <c r="J294" s="129">
        <v>448</v>
      </c>
      <c r="K294" s="132">
        <f>K293*28</f>
        <v>350</v>
      </c>
      <c r="L294" s="361"/>
      <c r="M294" s="361"/>
      <c r="N294" s="361"/>
      <c r="O294" s="361"/>
      <c r="P294" s="361"/>
      <c r="Q294" s="366"/>
      <c r="R294" s="126">
        <f>J294-K294</f>
        <v>98</v>
      </c>
      <c r="S294" s="108">
        <f>SUM(S295:S305)</f>
        <v>126</v>
      </c>
      <c r="T294" s="16"/>
      <c r="U294" s="363"/>
      <c r="V294" s="77"/>
      <c r="W294" s="49"/>
      <c r="X294" s="2">
        <f t="shared" si="234"/>
        <v>0</v>
      </c>
      <c r="Y294" s="2">
        <f t="shared" si="235"/>
        <v>0</v>
      </c>
      <c r="Z294" s="2">
        <f t="shared" si="236"/>
        <v>0</v>
      </c>
    </row>
    <row r="295" spans="1:29" ht="38.25" customHeight="1">
      <c r="A295" s="368"/>
      <c r="B295" s="368"/>
      <c r="C295" s="368"/>
      <c r="D295" s="368"/>
      <c r="E295" s="368"/>
      <c r="F295" s="381"/>
      <c r="G295" s="285" t="s">
        <v>141</v>
      </c>
      <c r="H295" s="286" t="s">
        <v>61</v>
      </c>
      <c r="I295" s="29"/>
      <c r="J295" s="299" t="s">
        <v>126</v>
      </c>
      <c r="K295" s="287">
        <f t="shared" ref="K295:K305" si="252">L295+O295</f>
        <v>1</v>
      </c>
      <c r="L295" s="287">
        <f t="shared" ref="L295:L305" si="253">IF(I295="m",(M295+N295)*2.5*V295/28,(M295+N295)*2*V295/28)</f>
        <v>0</v>
      </c>
      <c r="M295" s="288"/>
      <c r="N295" s="288"/>
      <c r="O295" s="287">
        <f t="shared" ref="O295:O305" si="254">IF(I295="m",(P295+Q295)*1.5*V295/28,(P295+Q295)*1*V295/28)</f>
        <v>1</v>
      </c>
      <c r="P295" s="299">
        <v>2</v>
      </c>
      <c r="Q295" s="299"/>
      <c r="R295" s="25" t="s">
        <v>234</v>
      </c>
      <c r="S295" s="25">
        <v>15</v>
      </c>
      <c r="T295" s="25"/>
      <c r="U295" s="363"/>
      <c r="V295" s="77">
        <v>14</v>
      </c>
      <c r="W295" s="49"/>
      <c r="X295" s="2">
        <f t="shared" ref="X295:X300" si="255">IF(ISNUMBER(SEARCH("Aut",H295)),K295, 0)</f>
        <v>0</v>
      </c>
      <c r="Y295" s="2">
        <f t="shared" ref="Y295:Y300" si="256">IF(ISNUMBER(SEARCH("Tst",H295)),K295, 0)</f>
        <v>0</v>
      </c>
      <c r="Z295" s="2">
        <f t="shared" ref="Z295:Z300" si="257">IF(ISNUMBER(SEARCH("Calc",H295)),K295, 0)</f>
        <v>1</v>
      </c>
    </row>
    <row r="296" spans="1:29" ht="38.25" customHeight="1">
      <c r="A296" s="368"/>
      <c r="B296" s="368"/>
      <c r="C296" s="368"/>
      <c r="D296" s="368"/>
      <c r="E296" s="368"/>
      <c r="F296" s="381"/>
      <c r="G296" s="285" t="s">
        <v>261</v>
      </c>
      <c r="H296" s="240" t="s">
        <v>61</v>
      </c>
      <c r="I296" s="29"/>
      <c r="J296" s="240" t="s">
        <v>126</v>
      </c>
      <c r="K296" s="287">
        <f t="shared" si="252"/>
        <v>1</v>
      </c>
      <c r="L296" s="287">
        <f t="shared" si="253"/>
        <v>0</v>
      </c>
      <c r="M296" s="29"/>
      <c r="N296" s="29"/>
      <c r="O296" s="287">
        <f t="shared" si="254"/>
        <v>1</v>
      </c>
      <c r="P296" s="240">
        <v>2</v>
      </c>
      <c r="Q296" s="240"/>
      <c r="R296" s="25" t="s">
        <v>39</v>
      </c>
      <c r="S296" s="25">
        <v>111</v>
      </c>
      <c r="T296" s="25"/>
      <c r="U296" s="363"/>
      <c r="V296" s="77">
        <v>14</v>
      </c>
      <c r="W296" s="49"/>
      <c r="X296" s="2">
        <f t="shared" si="255"/>
        <v>0</v>
      </c>
      <c r="Y296" s="2">
        <f t="shared" si="256"/>
        <v>0</v>
      </c>
      <c r="Z296" s="2">
        <f t="shared" si="257"/>
        <v>1</v>
      </c>
    </row>
    <row r="297" spans="1:29" ht="12.75" customHeight="1">
      <c r="A297" s="368"/>
      <c r="B297" s="368"/>
      <c r="C297" s="368"/>
      <c r="D297" s="368"/>
      <c r="E297" s="368"/>
      <c r="F297" s="381"/>
      <c r="G297" s="285" t="s">
        <v>196</v>
      </c>
      <c r="H297" s="240" t="s">
        <v>177</v>
      </c>
      <c r="I297" s="29"/>
      <c r="J297" s="240" t="s">
        <v>126</v>
      </c>
      <c r="K297" s="287">
        <f t="shared" si="252"/>
        <v>2</v>
      </c>
      <c r="L297" s="287">
        <f t="shared" si="253"/>
        <v>0</v>
      </c>
      <c r="M297" s="29"/>
      <c r="N297" s="29"/>
      <c r="O297" s="287">
        <f t="shared" si="254"/>
        <v>2</v>
      </c>
      <c r="P297" s="240">
        <v>4</v>
      </c>
      <c r="Q297" s="240"/>
      <c r="R297" s="25"/>
      <c r="S297" s="25"/>
      <c r="T297" s="25"/>
      <c r="U297" s="363"/>
      <c r="V297" s="77">
        <v>14</v>
      </c>
      <c r="W297" s="49"/>
      <c r="X297" s="2">
        <f t="shared" si="255"/>
        <v>0</v>
      </c>
      <c r="Y297" s="2">
        <f t="shared" si="256"/>
        <v>0</v>
      </c>
      <c r="Z297" s="2">
        <f t="shared" si="257"/>
        <v>0</v>
      </c>
    </row>
    <row r="298" spans="1:29" ht="38.25" customHeight="1">
      <c r="A298" s="368"/>
      <c r="B298" s="368"/>
      <c r="C298" s="368"/>
      <c r="D298" s="368"/>
      <c r="E298" s="368"/>
      <c r="F298" s="381"/>
      <c r="G298" s="285" t="s">
        <v>141</v>
      </c>
      <c r="H298" s="240" t="s">
        <v>55</v>
      </c>
      <c r="I298" s="29"/>
      <c r="J298" s="240" t="s">
        <v>126</v>
      </c>
      <c r="K298" s="287">
        <f t="shared" si="252"/>
        <v>1</v>
      </c>
      <c r="L298" s="287">
        <f t="shared" si="253"/>
        <v>0</v>
      </c>
      <c r="M298" s="29"/>
      <c r="N298" s="29"/>
      <c r="O298" s="287">
        <f t="shared" si="254"/>
        <v>1</v>
      </c>
      <c r="P298" s="240">
        <v>2</v>
      </c>
      <c r="Q298" s="290"/>
      <c r="R298" s="25"/>
      <c r="S298" s="25"/>
      <c r="T298" s="25"/>
      <c r="U298" s="363"/>
      <c r="V298" s="77">
        <v>14</v>
      </c>
      <c r="W298" s="49"/>
      <c r="X298" s="2">
        <f t="shared" si="255"/>
        <v>1</v>
      </c>
      <c r="Y298" s="2">
        <f t="shared" si="256"/>
        <v>0</v>
      </c>
      <c r="Z298" s="2">
        <f t="shared" si="257"/>
        <v>0</v>
      </c>
    </row>
    <row r="299" spans="1:29" ht="38.25" customHeight="1">
      <c r="A299" s="368"/>
      <c r="B299" s="368"/>
      <c r="C299" s="368"/>
      <c r="D299" s="368"/>
      <c r="E299" s="368"/>
      <c r="F299" s="381"/>
      <c r="G299" s="285" t="s">
        <v>261</v>
      </c>
      <c r="H299" s="240" t="s">
        <v>55</v>
      </c>
      <c r="I299" s="29"/>
      <c r="J299" s="240" t="s">
        <v>126</v>
      </c>
      <c r="K299" s="287">
        <f t="shared" si="252"/>
        <v>1</v>
      </c>
      <c r="L299" s="287">
        <f t="shared" si="253"/>
        <v>0</v>
      </c>
      <c r="M299" s="29"/>
      <c r="N299" s="29"/>
      <c r="O299" s="287">
        <f t="shared" si="254"/>
        <v>1</v>
      </c>
      <c r="P299" s="240">
        <v>2</v>
      </c>
      <c r="Q299" s="290"/>
      <c r="R299" s="25"/>
      <c r="S299" s="25"/>
      <c r="T299" s="25"/>
      <c r="U299" s="363"/>
      <c r="V299" s="77">
        <v>14</v>
      </c>
      <c r="W299" s="49"/>
      <c r="X299" s="2">
        <f t="shared" si="255"/>
        <v>1</v>
      </c>
      <c r="Y299" s="2">
        <f t="shared" si="256"/>
        <v>0</v>
      </c>
      <c r="Z299" s="2">
        <f t="shared" si="257"/>
        <v>0</v>
      </c>
    </row>
    <row r="300" spans="1:29" ht="38.25" customHeight="1">
      <c r="A300" s="368"/>
      <c r="B300" s="368"/>
      <c r="C300" s="368"/>
      <c r="D300" s="368"/>
      <c r="E300" s="368"/>
      <c r="F300" s="381"/>
      <c r="G300" s="285" t="s">
        <v>261</v>
      </c>
      <c r="H300" s="290" t="s">
        <v>49</v>
      </c>
      <c r="I300" s="29"/>
      <c r="J300" s="290" t="s">
        <v>147</v>
      </c>
      <c r="K300" s="30">
        <f>L300+O300</f>
        <v>0.5</v>
      </c>
      <c r="L300" s="30">
        <f>IF(I300="m",(M300+N300)*2.5*V271/28,(M300+N300)*2*V271/28)</f>
        <v>0</v>
      </c>
      <c r="M300" s="29"/>
      <c r="N300" s="29"/>
      <c r="O300" s="287">
        <f t="shared" si="254"/>
        <v>0.5</v>
      </c>
      <c r="P300" s="290">
        <v>1</v>
      </c>
      <c r="Q300" s="315"/>
      <c r="R300" s="25"/>
      <c r="S300" s="25"/>
      <c r="T300" s="25"/>
      <c r="U300" s="363"/>
      <c r="V300" s="77">
        <v>14</v>
      </c>
      <c r="W300" s="49"/>
      <c r="X300" s="2">
        <f t="shared" si="255"/>
        <v>0</v>
      </c>
      <c r="Y300" s="2">
        <f t="shared" si="256"/>
        <v>0.5</v>
      </c>
      <c r="Z300" s="2">
        <f t="shared" si="257"/>
        <v>0</v>
      </c>
    </row>
    <row r="301" spans="1:29" ht="38.25" customHeight="1">
      <c r="A301" s="368"/>
      <c r="B301" s="368"/>
      <c r="C301" s="368"/>
      <c r="D301" s="368"/>
      <c r="E301" s="368"/>
      <c r="F301" s="381"/>
      <c r="G301" s="285" t="s">
        <v>141</v>
      </c>
      <c r="H301" s="290" t="s">
        <v>49</v>
      </c>
      <c r="I301" s="29"/>
      <c r="J301" s="290" t="s">
        <v>147</v>
      </c>
      <c r="K301" s="30">
        <f t="shared" si="252"/>
        <v>1</v>
      </c>
      <c r="L301" s="30">
        <f>IF(I301="m",(M301+N301)*2.5*V298/28,(M301+N301)*2*V298/28)</f>
        <v>0</v>
      </c>
      <c r="M301" s="29"/>
      <c r="N301" s="29"/>
      <c r="O301" s="287">
        <f t="shared" si="254"/>
        <v>1</v>
      </c>
      <c r="P301" s="290">
        <v>2</v>
      </c>
      <c r="Q301" s="290"/>
      <c r="R301" s="25"/>
      <c r="S301" s="25"/>
      <c r="T301" s="25"/>
      <c r="U301" s="363"/>
      <c r="V301" s="77">
        <v>14</v>
      </c>
      <c r="W301" s="49"/>
      <c r="X301" s="2">
        <f t="shared" si="234"/>
        <v>0</v>
      </c>
      <c r="Y301" s="2">
        <f t="shared" si="235"/>
        <v>1</v>
      </c>
      <c r="Z301" s="2">
        <f t="shared" si="236"/>
        <v>0</v>
      </c>
    </row>
    <row r="302" spans="1:29" ht="25.5" customHeight="1">
      <c r="A302" s="368"/>
      <c r="B302" s="368"/>
      <c r="C302" s="368"/>
      <c r="D302" s="368"/>
      <c r="E302" s="368"/>
      <c r="F302" s="381"/>
      <c r="G302" s="285" t="s">
        <v>253</v>
      </c>
      <c r="H302" s="240" t="s">
        <v>49</v>
      </c>
      <c r="I302" s="29"/>
      <c r="J302" s="240" t="s">
        <v>129</v>
      </c>
      <c r="K302" s="30">
        <f t="shared" si="252"/>
        <v>1</v>
      </c>
      <c r="L302" s="30">
        <f>IF(I302="m",(M302+N302)*2.5*V302/28,(M302+N302)*2*V302/28)</f>
        <v>0</v>
      </c>
      <c r="M302" s="29"/>
      <c r="N302" s="29"/>
      <c r="O302" s="30">
        <f>IF(I302="m",(P302+Q302)*1.5*V302/28,(P302+Q302)*1*V302/28)</f>
        <v>1</v>
      </c>
      <c r="P302" s="240"/>
      <c r="Q302" s="240">
        <v>2</v>
      </c>
      <c r="R302" s="25"/>
      <c r="S302" s="25"/>
      <c r="T302" s="25"/>
      <c r="U302" s="363"/>
      <c r="V302" s="77">
        <v>14</v>
      </c>
      <c r="W302" s="49"/>
      <c r="X302" s="2">
        <f t="shared" si="234"/>
        <v>0</v>
      </c>
      <c r="Y302" s="2">
        <f t="shared" si="235"/>
        <v>1</v>
      </c>
      <c r="Z302" s="2">
        <f t="shared" si="236"/>
        <v>0</v>
      </c>
    </row>
    <row r="303" spans="1:29" ht="12.75" customHeight="1">
      <c r="A303" s="368"/>
      <c r="B303" s="368"/>
      <c r="C303" s="368"/>
      <c r="D303" s="368"/>
      <c r="E303" s="368"/>
      <c r="F303" s="381"/>
      <c r="G303" s="289" t="s">
        <v>140</v>
      </c>
      <c r="H303" s="240" t="s">
        <v>61</v>
      </c>
      <c r="I303" s="29"/>
      <c r="J303" s="240" t="s">
        <v>127</v>
      </c>
      <c r="K303" s="30">
        <f t="shared" si="252"/>
        <v>2</v>
      </c>
      <c r="L303" s="30">
        <f t="shared" si="253"/>
        <v>0</v>
      </c>
      <c r="M303" s="29"/>
      <c r="N303" s="29"/>
      <c r="O303" s="30">
        <f t="shared" si="254"/>
        <v>2</v>
      </c>
      <c r="P303" s="320"/>
      <c r="Q303" s="320">
        <v>4</v>
      </c>
      <c r="R303" s="25"/>
      <c r="S303" s="25"/>
      <c r="T303" s="25"/>
      <c r="U303" s="363"/>
      <c r="V303" s="77">
        <v>14</v>
      </c>
      <c r="W303" s="49"/>
      <c r="X303" s="2">
        <f t="shared" si="234"/>
        <v>0</v>
      </c>
      <c r="Y303" s="2">
        <f t="shared" si="235"/>
        <v>0</v>
      </c>
      <c r="Z303" s="2">
        <f t="shared" si="236"/>
        <v>2</v>
      </c>
    </row>
    <row r="304" spans="1:29" ht="12.75" customHeight="1">
      <c r="A304" s="368"/>
      <c r="B304" s="368"/>
      <c r="C304" s="368"/>
      <c r="D304" s="368"/>
      <c r="E304" s="368"/>
      <c r="F304" s="381"/>
      <c r="G304" s="289" t="s">
        <v>140</v>
      </c>
      <c r="H304" s="313" t="s">
        <v>55</v>
      </c>
      <c r="I304" s="29"/>
      <c r="J304" s="313" t="s">
        <v>129</v>
      </c>
      <c r="K304" s="30">
        <f t="shared" si="252"/>
        <v>1</v>
      </c>
      <c r="L304" s="30">
        <f t="shared" si="253"/>
        <v>0</v>
      </c>
      <c r="M304" s="29"/>
      <c r="N304" s="29"/>
      <c r="O304" s="30">
        <f t="shared" si="254"/>
        <v>1</v>
      </c>
      <c r="P304" s="323"/>
      <c r="Q304" s="323">
        <v>2</v>
      </c>
      <c r="R304" s="25"/>
      <c r="S304" s="25"/>
      <c r="T304" s="25"/>
      <c r="U304" s="363"/>
      <c r="V304" s="77">
        <v>14</v>
      </c>
      <c r="W304" s="49"/>
      <c r="X304" s="2">
        <f t="shared" si="234"/>
        <v>1</v>
      </c>
      <c r="Y304" s="2">
        <f t="shared" si="235"/>
        <v>0</v>
      </c>
      <c r="Z304" s="2">
        <f t="shared" si="236"/>
        <v>0</v>
      </c>
    </row>
    <row r="305" spans="1:32" ht="13.5" customHeight="1" thickBot="1">
      <c r="A305" s="368"/>
      <c r="B305" s="368"/>
      <c r="C305" s="368"/>
      <c r="D305" s="368"/>
      <c r="E305" s="368"/>
      <c r="F305" s="381"/>
      <c r="G305" s="289" t="s">
        <v>140</v>
      </c>
      <c r="H305" s="313" t="s">
        <v>55</v>
      </c>
      <c r="I305" s="29"/>
      <c r="J305" s="313" t="s">
        <v>129</v>
      </c>
      <c r="K305" s="30">
        <f t="shared" si="252"/>
        <v>1</v>
      </c>
      <c r="L305" s="30">
        <f t="shared" si="253"/>
        <v>0</v>
      </c>
      <c r="M305" s="29"/>
      <c r="N305" s="29"/>
      <c r="O305" s="30">
        <f t="shared" si="254"/>
        <v>1</v>
      </c>
      <c r="P305" s="323"/>
      <c r="Q305" s="323">
        <v>2</v>
      </c>
      <c r="R305" s="25"/>
      <c r="S305" s="25"/>
      <c r="T305" s="25"/>
      <c r="U305" s="363"/>
      <c r="V305" s="77">
        <v>14</v>
      </c>
      <c r="W305" s="49"/>
      <c r="X305" s="2">
        <f t="shared" si="234"/>
        <v>1</v>
      </c>
      <c r="Y305" s="2">
        <f t="shared" si="235"/>
        <v>0</v>
      </c>
      <c r="Z305" s="2">
        <f t="shared" si="236"/>
        <v>0</v>
      </c>
    </row>
    <row r="306" spans="1:32" ht="12.75" customHeight="1">
      <c r="A306" s="367">
        <v>29</v>
      </c>
      <c r="B306" s="367" t="s">
        <v>25</v>
      </c>
      <c r="C306" s="367"/>
      <c r="D306" s="367" t="s">
        <v>25</v>
      </c>
      <c r="E306" s="367" t="s">
        <v>284</v>
      </c>
      <c r="F306" s="367" t="s">
        <v>195</v>
      </c>
      <c r="G306" s="376"/>
      <c r="H306" s="376"/>
      <c r="I306" s="375"/>
      <c r="J306" s="127">
        <v>16</v>
      </c>
      <c r="K306" s="131">
        <f>SUM(K308:K319)</f>
        <v>12.5</v>
      </c>
      <c r="L306" s="364">
        <f t="shared" ref="L306:Q306" si="258">SUM(L308:L319)</f>
        <v>0</v>
      </c>
      <c r="M306" s="364">
        <f t="shared" si="258"/>
        <v>0</v>
      </c>
      <c r="N306" s="364">
        <f t="shared" si="258"/>
        <v>0</v>
      </c>
      <c r="O306" s="364">
        <f t="shared" si="258"/>
        <v>12.5</v>
      </c>
      <c r="P306" s="364">
        <f t="shared" si="258"/>
        <v>11</v>
      </c>
      <c r="Q306" s="365">
        <f t="shared" si="258"/>
        <v>14</v>
      </c>
      <c r="R306" s="128">
        <f>J306-K306</f>
        <v>3.5</v>
      </c>
      <c r="S306" s="233">
        <f>S307/28</f>
        <v>4</v>
      </c>
      <c r="T306" s="233"/>
      <c r="U306" s="362"/>
      <c r="V306" s="209"/>
      <c r="W306" s="106"/>
      <c r="X306" s="2">
        <f t="shared" si="234"/>
        <v>0</v>
      </c>
      <c r="Y306" s="2">
        <f t="shared" si="235"/>
        <v>0</v>
      </c>
      <c r="Z306" s="2">
        <f t="shared" si="236"/>
        <v>0</v>
      </c>
      <c r="AA306" s="2">
        <f t="shared" si="237"/>
        <v>1</v>
      </c>
      <c r="AB306" s="2">
        <f t="shared" si="238"/>
        <v>1</v>
      </c>
      <c r="AC306" s="2">
        <f t="shared" si="239"/>
        <v>2</v>
      </c>
    </row>
    <row r="307" spans="1:32" ht="13.5" customHeight="1" thickBot="1">
      <c r="A307" s="368"/>
      <c r="B307" s="368"/>
      <c r="C307" s="368"/>
      <c r="D307" s="368"/>
      <c r="E307" s="368"/>
      <c r="F307" s="368"/>
      <c r="G307" s="370"/>
      <c r="H307" s="371"/>
      <c r="I307" s="373"/>
      <c r="J307" s="129">
        <v>448</v>
      </c>
      <c r="K307" s="132">
        <f>K306*28</f>
        <v>350</v>
      </c>
      <c r="L307" s="361"/>
      <c r="M307" s="361"/>
      <c r="N307" s="361"/>
      <c r="O307" s="361"/>
      <c r="P307" s="361"/>
      <c r="Q307" s="366"/>
      <c r="R307" s="126">
        <f>J307-K307</f>
        <v>98</v>
      </c>
      <c r="S307" s="108">
        <f>SUM(S308:S319)</f>
        <v>112</v>
      </c>
      <c r="T307" s="16"/>
      <c r="U307" s="363"/>
      <c r="V307" s="77"/>
      <c r="W307" s="49"/>
      <c r="X307" s="2">
        <f t="shared" si="234"/>
        <v>0</v>
      </c>
      <c r="Y307" s="2">
        <f t="shared" si="235"/>
        <v>0</v>
      </c>
      <c r="Z307" s="2">
        <f t="shared" si="236"/>
        <v>0</v>
      </c>
      <c r="AA307" s="2">
        <f t="shared" si="237"/>
        <v>1</v>
      </c>
      <c r="AB307" s="2">
        <f t="shared" si="238"/>
        <v>1</v>
      </c>
      <c r="AC307" s="2">
        <f t="shared" si="239"/>
        <v>2</v>
      </c>
    </row>
    <row r="308" spans="1:32" ht="38.25" customHeight="1">
      <c r="A308" s="368"/>
      <c r="B308" s="368"/>
      <c r="C308" s="368"/>
      <c r="D308" s="368"/>
      <c r="E308" s="368"/>
      <c r="F308" s="368"/>
      <c r="G308" s="285" t="s">
        <v>45</v>
      </c>
      <c r="H308" s="286" t="s">
        <v>49</v>
      </c>
      <c r="I308" s="29"/>
      <c r="J308" s="286" t="s">
        <v>65</v>
      </c>
      <c r="K308" s="287">
        <f>L308+O308</f>
        <v>1</v>
      </c>
      <c r="L308" s="287">
        <f t="shared" ref="L308:L319" si="259">IF(I308="m",(M308+N308)*2.5*V308/28,(M308+N308)*2*V308/28)</f>
        <v>0</v>
      </c>
      <c r="M308" s="288"/>
      <c r="N308" s="288"/>
      <c r="O308" s="287">
        <f t="shared" ref="O308:O319" si="260">IF(I308="m",(P308+Q308)*1.5*V308/28,(P308+Q308)*1*V308/28)</f>
        <v>1</v>
      </c>
      <c r="P308" s="286"/>
      <c r="Q308" s="286">
        <v>2</v>
      </c>
      <c r="R308" s="25" t="s">
        <v>234</v>
      </c>
      <c r="S308" s="25">
        <v>30</v>
      </c>
      <c r="T308" s="25"/>
      <c r="U308" s="363"/>
      <c r="V308" s="77">
        <v>14</v>
      </c>
      <c r="W308" s="49"/>
      <c r="X308" s="2">
        <f t="shared" si="234"/>
        <v>0</v>
      </c>
      <c r="Y308" s="2">
        <f t="shared" si="235"/>
        <v>1</v>
      </c>
      <c r="Z308" s="2">
        <f t="shared" si="236"/>
        <v>0</v>
      </c>
      <c r="AA308" s="2">
        <f t="shared" si="237"/>
        <v>1</v>
      </c>
      <c r="AB308" s="2">
        <f t="shared" si="238"/>
        <v>1</v>
      </c>
      <c r="AC308" s="2">
        <f t="shared" si="239"/>
        <v>2</v>
      </c>
    </row>
    <row r="309" spans="1:32" ht="38.25" customHeight="1">
      <c r="A309" s="368"/>
      <c r="B309" s="368"/>
      <c r="C309" s="368"/>
      <c r="D309" s="368"/>
      <c r="E309" s="368"/>
      <c r="F309" s="368"/>
      <c r="G309" s="285" t="s">
        <v>45</v>
      </c>
      <c r="H309" s="240" t="s">
        <v>61</v>
      </c>
      <c r="I309" s="29"/>
      <c r="J309" s="240" t="s">
        <v>130</v>
      </c>
      <c r="K309" s="30">
        <f t="shared" ref="K309:K319" si="261">L309+O309</f>
        <v>2</v>
      </c>
      <c r="L309" s="287">
        <f t="shared" si="259"/>
        <v>0</v>
      </c>
      <c r="M309" s="29"/>
      <c r="N309" s="29"/>
      <c r="O309" s="287">
        <f t="shared" si="260"/>
        <v>2</v>
      </c>
      <c r="P309" s="240"/>
      <c r="Q309" s="240">
        <v>4</v>
      </c>
      <c r="R309" s="25" t="s">
        <v>39</v>
      </c>
      <c r="S309" s="25">
        <v>82</v>
      </c>
      <c r="T309" s="25"/>
      <c r="U309" s="363"/>
      <c r="V309" s="77">
        <v>14</v>
      </c>
      <c r="W309" s="49"/>
      <c r="X309" s="2">
        <f t="shared" si="234"/>
        <v>0</v>
      </c>
      <c r="Y309" s="2">
        <f t="shared" si="235"/>
        <v>0</v>
      </c>
      <c r="Z309" s="2">
        <f t="shared" si="236"/>
        <v>2</v>
      </c>
      <c r="AA309" s="2">
        <f t="shared" ref="AA309:AC312" si="262">SUM(X309:X315)</f>
        <v>1</v>
      </c>
      <c r="AB309" s="2">
        <f t="shared" si="262"/>
        <v>0</v>
      </c>
      <c r="AC309" s="2">
        <f t="shared" si="262"/>
        <v>3.5</v>
      </c>
    </row>
    <row r="310" spans="1:32" ht="38.25" customHeight="1">
      <c r="A310" s="368"/>
      <c r="B310" s="368"/>
      <c r="C310" s="368"/>
      <c r="D310" s="368"/>
      <c r="E310" s="368"/>
      <c r="F310" s="368"/>
      <c r="G310" s="285" t="s">
        <v>45</v>
      </c>
      <c r="H310" s="318" t="s">
        <v>55</v>
      </c>
      <c r="I310" s="79"/>
      <c r="J310" s="318" t="s">
        <v>65</v>
      </c>
      <c r="K310" s="30">
        <f t="shared" si="261"/>
        <v>1</v>
      </c>
      <c r="L310" s="287">
        <f t="shared" si="259"/>
        <v>0</v>
      </c>
      <c r="M310" s="29"/>
      <c r="N310" s="29"/>
      <c r="O310" s="287">
        <f t="shared" si="260"/>
        <v>1</v>
      </c>
      <c r="P310" s="318"/>
      <c r="Q310" s="318">
        <v>2</v>
      </c>
      <c r="R310" s="25"/>
      <c r="S310" s="25"/>
      <c r="T310" s="25"/>
      <c r="U310" s="363"/>
      <c r="V310" s="77">
        <v>14</v>
      </c>
      <c r="W310" s="49"/>
      <c r="X310" s="2">
        <f t="shared" si="234"/>
        <v>1</v>
      </c>
      <c r="Y310" s="2">
        <f t="shared" si="235"/>
        <v>0</v>
      </c>
      <c r="Z310" s="2">
        <f t="shared" si="236"/>
        <v>0</v>
      </c>
      <c r="AA310" s="2">
        <f t="shared" si="262"/>
        <v>1</v>
      </c>
      <c r="AB310" s="2">
        <f t="shared" si="262"/>
        <v>0</v>
      </c>
      <c r="AC310" s="2">
        <f t="shared" si="262"/>
        <v>2</v>
      </c>
    </row>
    <row r="311" spans="1:32" ht="38.25" customHeight="1">
      <c r="A311" s="368"/>
      <c r="B311" s="368"/>
      <c r="C311" s="368"/>
      <c r="D311" s="368"/>
      <c r="E311" s="368"/>
      <c r="F311" s="368"/>
      <c r="G311" s="285" t="s">
        <v>45</v>
      </c>
      <c r="H311" s="240" t="s">
        <v>138</v>
      </c>
      <c r="I311" s="29"/>
      <c r="J311" s="240" t="s">
        <v>130</v>
      </c>
      <c r="K311" s="30">
        <f t="shared" si="261"/>
        <v>1</v>
      </c>
      <c r="L311" s="287">
        <f t="shared" si="259"/>
        <v>0</v>
      </c>
      <c r="M311" s="29"/>
      <c r="N311" s="29"/>
      <c r="O311" s="287">
        <f t="shared" si="260"/>
        <v>1</v>
      </c>
      <c r="P311" s="240"/>
      <c r="Q311" s="240">
        <v>2</v>
      </c>
      <c r="R311" s="25"/>
      <c r="S311" s="25"/>
      <c r="T311" s="25"/>
      <c r="U311" s="363"/>
      <c r="V311" s="77">
        <v>14</v>
      </c>
      <c r="W311" s="49"/>
      <c r="X311" s="2">
        <f t="shared" si="234"/>
        <v>0</v>
      </c>
      <c r="Y311" s="2">
        <f t="shared" si="235"/>
        <v>0</v>
      </c>
      <c r="Z311" s="2">
        <f t="shared" si="236"/>
        <v>0</v>
      </c>
      <c r="AA311" s="2">
        <f t="shared" si="262"/>
        <v>0</v>
      </c>
      <c r="AB311" s="2">
        <f t="shared" si="262"/>
        <v>0</v>
      </c>
      <c r="AC311" s="2">
        <f t="shared" si="262"/>
        <v>2.5</v>
      </c>
    </row>
    <row r="312" spans="1:32" ht="38.25" customHeight="1">
      <c r="A312" s="368"/>
      <c r="B312" s="368"/>
      <c r="C312" s="368"/>
      <c r="D312" s="368"/>
      <c r="E312" s="368"/>
      <c r="F312" s="368"/>
      <c r="G312" s="285" t="s">
        <v>45</v>
      </c>
      <c r="H312" s="240" t="s">
        <v>146</v>
      </c>
      <c r="I312" s="29"/>
      <c r="J312" s="240" t="s">
        <v>65</v>
      </c>
      <c r="K312" s="30">
        <f t="shared" ref="K312:K318" si="263">L312+O312</f>
        <v>0.5</v>
      </c>
      <c r="L312" s="287">
        <f t="shared" si="259"/>
        <v>0</v>
      </c>
      <c r="M312" s="29"/>
      <c r="N312" s="29"/>
      <c r="O312" s="287">
        <f t="shared" si="260"/>
        <v>0.5</v>
      </c>
      <c r="P312" s="240"/>
      <c r="Q312" s="240">
        <v>1</v>
      </c>
      <c r="R312" s="25"/>
      <c r="S312" s="25"/>
      <c r="T312" s="25"/>
      <c r="U312" s="363"/>
      <c r="V312" s="77">
        <v>14</v>
      </c>
      <c r="W312" s="49"/>
      <c r="X312" s="2">
        <f t="shared" si="234"/>
        <v>0</v>
      </c>
      <c r="Y312" s="2">
        <f t="shared" si="235"/>
        <v>0</v>
      </c>
      <c r="Z312" s="2">
        <f t="shared" si="236"/>
        <v>0</v>
      </c>
      <c r="AA312" s="2">
        <f t="shared" si="262"/>
        <v>0</v>
      </c>
      <c r="AB312" s="2">
        <f t="shared" si="262"/>
        <v>0</v>
      </c>
      <c r="AC312" s="2">
        <f t="shared" si="262"/>
        <v>4.5</v>
      </c>
    </row>
    <row r="313" spans="1:32" ht="38.25" customHeight="1">
      <c r="A313" s="368"/>
      <c r="B313" s="368"/>
      <c r="C313" s="368"/>
      <c r="D313" s="368"/>
      <c r="E313" s="368"/>
      <c r="F313" s="368"/>
      <c r="G313" s="285" t="s">
        <v>131</v>
      </c>
      <c r="H313" s="290" t="s">
        <v>49</v>
      </c>
      <c r="I313" s="29"/>
      <c r="J313" s="290" t="s">
        <v>135</v>
      </c>
      <c r="K313" s="310">
        <f t="shared" si="263"/>
        <v>0.5</v>
      </c>
      <c r="L313" s="287">
        <f t="shared" si="259"/>
        <v>0</v>
      </c>
      <c r="M313" s="29"/>
      <c r="N313" s="29"/>
      <c r="O313" s="287">
        <f t="shared" si="260"/>
        <v>0.5</v>
      </c>
      <c r="P313" s="290"/>
      <c r="Q313" s="290">
        <v>1</v>
      </c>
      <c r="R313" s="25"/>
      <c r="S313" s="25"/>
      <c r="T313" s="25"/>
      <c r="U313" s="363"/>
      <c r="V313" s="77">
        <v>14</v>
      </c>
      <c r="W313" s="49"/>
    </row>
    <row r="314" spans="1:32" ht="38.25" customHeight="1">
      <c r="A314" s="368"/>
      <c r="B314" s="368"/>
      <c r="C314" s="368"/>
      <c r="D314" s="368"/>
      <c r="E314" s="368"/>
      <c r="F314" s="368"/>
      <c r="G314" s="285" t="s">
        <v>131</v>
      </c>
      <c r="H314" s="290" t="s">
        <v>146</v>
      </c>
      <c r="I314" s="29"/>
      <c r="J314" s="290" t="s">
        <v>19</v>
      </c>
      <c r="K314" s="30">
        <f t="shared" si="263"/>
        <v>1</v>
      </c>
      <c r="L314" s="287">
        <f t="shared" si="259"/>
        <v>0</v>
      </c>
      <c r="M314" s="240"/>
      <c r="N314" s="240"/>
      <c r="O314" s="287">
        <f t="shared" si="260"/>
        <v>1</v>
      </c>
      <c r="P314" s="319"/>
      <c r="Q314" s="319">
        <v>2</v>
      </c>
      <c r="R314" s="25"/>
      <c r="S314" s="25"/>
      <c r="T314" s="25"/>
      <c r="U314" s="363"/>
      <c r="V314" s="77">
        <v>14</v>
      </c>
      <c r="W314" s="49"/>
    </row>
    <row r="315" spans="1:32" ht="25.5" customHeight="1">
      <c r="A315" s="368"/>
      <c r="B315" s="368"/>
      <c r="C315" s="368"/>
      <c r="D315" s="368"/>
      <c r="E315" s="368"/>
      <c r="F315" s="368"/>
      <c r="G315" s="285" t="s">
        <v>44</v>
      </c>
      <c r="H315" s="240" t="s">
        <v>61</v>
      </c>
      <c r="I315" s="29"/>
      <c r="J315" s="240" t="s">
        <v>199</v>
      </c>
      <c r="K315" s="310">
        <f t="shared" si="263"/>
        <v>1.5</v>
      </c>
      <c r="L315" s="287">
        <f t="shared" si="259"/>
        <v>0</v>
      </c>
      <c r="M315" s="240"/>
      <c r="N315" s="240"/>
      <c r="O315" s="287">
        <f t="shared" si="260"/>
        <v>1.5</v>
      </c>
      <c r="P315" s="240">
        <v>3</v>
      </c>
      <c r="Q315" s="240"/>
      <c r="R315" s="25"/>
      <c r="S315" s="25"/>
      <c r="T315" s="25"/>
      <c r="U315" s="363"/>
      <c r="V315" s="77">
        <v>14</v>
      </c>
      <c r="W315" s="49"/>
      <c r="X315" s="2">
        <f t="shared" si="234"/>
        <v>0</v>
      </c>
      <c r="Y315" s="2">
        <f t="shared" si="235"/>
        <v>0</v>
      </c>
      <c r="Z315" s="2">
        <f t="shared" si="236"/>
        <v>1.5</v>
      </c>
      <c r="AA315" s="2">
        <f t="shared" si="237"/>
        <v>0</v>
      </c>
      <c r="AB315" s="2">
        <f t="shared" si="238"/>
        <v>1</v>
      </c>
      <c r="AC315" s="2">
        <f t="shared" si="239"/>
        <v>4.5</v>
      </c>
    </row>
    <row r="316" spans="1:32" ht="25.5" customHeight="1">
      <c r="A316" s="368"/>
      <c r="B316" s="368"/>
      <c r="C316" s="368"/>
      <c r="D316" s="368"/>
      <c r="E316" s="368"/>
      <c r="F316" s="368"/>
      <c r="G316" s="285" t="s">
        <v>44</v>
      </c>
      <c r="H316" s="240" t="s">
        <v>61</v>
      </c>
      <c r="I316" s="29"/>
      <c r="J316" s="240" t="s">
        <v>63</v>
      </c>
      <c r="K316" s="30">
        <f t="shared" si="263"/>
        <v>0.5</v>
      </c>
      <c r="L316" s="287">
        <f t="shared" si="259"/>
        <v>0</v>
      </c>
      <c r="M316" s="29"/>
      <c r="N316" s="29"/>
      <c r="O316" s="287">
        <f t="shared" si="260"/>
        <v>0.5</v>
      </c>
      <c r="P316" s="29">
        <v>1</v>
      </c>
      <c r="Q316" s="29"/>
      <c r="R316" s="25"/>
      <c r="S316" s="25"/>
      <c r="T316" s="25"/>
      <c r="U316" s="363"/>
      <c r="V316" s="77">
        <v>14</v>
      </c>
      <c r="W316" s="49"/>
      <c r="X316" s="2">
        <f t="shared" si="234"/>
        <v>0</v>
      </c>
      <c r="Y316" s="2">
        <f t="shared" si="235"/>
        <v>0</v>
      </c>
      <c r="Z316" s="2">
        <f t="shared" si="236"/>
        <v>0.5</v>
      </c>
      <c r="AA316" s="2">
        <f>SUM(X316:X319)</f>
        <v>0</v>
      </c>
      <c r="AB316" s="2">
        <f>SUM(Y316:Y319)</f>
        <v>1</v>
      </c>
      <c r="AC316" s="2">
        <f>SUM(Z316:Z319)</f>
        <v>3</v>
      </c>
    </row>
    <row r="317" spans="1:32" ht="25.5" customHeight="1">
      <c r="A317" s="368"/>
      <c r="B317" s="368"/>
      <c r="C317" s="368"/>
      <c r="D317" s="368"/>
      <c r="E317" s="368"/>
      <c r="F317" s="368"/>
      <c r="G317" s="285" t="s">
        <v>44</v>
      </c>
      <c r="H317" s="240" t="s">
        <v>61</v>
      </c>
      <c r="I317" s="29"/>
      <c r="J317" s="240" t="s">
        <v>64</v>
      </c>
      <c r="K317" s="310">
        <f t="shared" si="263"/>
        <v>0.5</v>
      </c>
      <c r="L317" s="287">
        <f t="shared" si="259"/>
        <v>0</v>
      </c>
      <c r="M317" s="288"/>
      <c r="N317" s="288"/>
      <c r="O317" s="287">
        <f t="shared" si="260"/>
        <v>0.5</v>
      </c>
      <c r="P317" s="288">
        <v>1</v>
      </c>
      <c r="Q317" s="288"/>
      <c r="R317" s="25"/>
      <c r="S317" s="25"/>
      <c r="T317" s="25"/>
      <c r="U317" s="363"/>
      <c r="V317" s="77">
        <v>14</v>
      </c>
      <c r="W317" s="49"/>
      <c r="X317" s="2">
        <f t="shared" si="234"/>
        <v>0</v>
      </c>
      <c r="Y317" s="2">
        <f t="shared" si="235"/>
        <v>0</v>
      </c>
      <c r="Z317" s="2">
        <f t="shared" si="236"/>
        <v>0.5</v>
      </c>
      <c r="AA317" s="2">
        <f>SUM(X317:X319)</f>
        <v>0</v>
      </c>
      <c r="AB317" s="2">
        <f>SUM(Y317:Y319)</f>
        <v>1</v>
      </c>
      <c r="AC317" s="2">
        <f>SUM(Z317:Z319)</f>
        <v>2.5</v>
      </c>
    </row>
    <row r="318" spans="1:32" ht="25.5" customHeight="1">
      <c r="A318" s="368"/>
      <c r="B318" s="368"/>
      <c r="C318" s="368"/>
      <c r="D318" s="368"/>
      <c r="E318" s="368"/>
      <c r="F318" s="368"/>
      <c r="G318" s="285" t="s">
        <v>44</v>
      </c>
      <c r="H318" s="240" t="s">
        <v>61</v>
      </c>
      <c r="I318" s="29"/>
      <c r="J318" s="240" t="s">
        <v>130</v>
      </c>
      <c r="K318" s="30">
        <f t="shared" si="263"/>
        <v>2</v>
      </c>
      <c r="L318" s="287">
        <f t="shared" si="259"/>
        <v>0</v>
      </c>
      <c r="M318" s="29"/>
      <c r="N318" s="29"/>
      <c r="O318" s="287">
        <f t="shared" si="260"/>
        <v>2</v>
      </c>
      <c r="P318" s="240">
        <v>4</v>
      </c>
      <c r="Q318" s="240"/>
      <c r="R318" s="25"/>
      <c r="S318" s="25"/>
      <c r="T318" s="25"/>
      <c r="U318" s="363"/>
      <c r="V318" s="77">
        <v>14</v>
      </c>
      <c r="W318" s="49"/>
      <c r="X318" s="2">
        <f t="shared" si="234"/>
        <v>0</v>
      </c>
      <c r="Y318" s="2">
        <f t="shared" si="235"/>
        <v>0</v>
      </c>
      <c r="Z318" s="2">
        <f t="shared" si="236"/>
        <v>2</v>
      </c>
      <c r="AA318" s="2">
        <f>SUM(X318:X319)</f>
        <v>0</v>
      </c>
      <c r="AB318" s="2">
        <f>SUM(Y318:Y319)</f>
        <v>1</v>
      </c>
      <c r="AC318" s="2">
        <f>SUM(Z318:Z319)</f>
        <v>2</v>
      </c>
    </row>
    <row r="319" spans="1:32" ht="13.5" customHeight="1" thickBot="1">
      <c r="A319" s="368"/>
      <c r="B319" s="368"/>
      <c r="C319" s="368"/>
      <c r="D319" s="368"/>
      <c r="E319" s="368"/>
      <c r="F319" s="368"/>
      <c r="G319" s="285" t="s">
        <v>191</v>
      </c>
      <c r="H319" s="240" t="s">
        <v>49</v>
      </c>
      <c r="I319" s="29"/>
      <c r="J319" s="240" t="s">
        <v>147</v>
      </c>
      <c r="K319" s="30">
        <f t="shared" si="261"/>
        <v>1</v>
      </c>
      <c r="L319" s="287">
        <f t="shared" si="259"/>
        <v>0</v>
      </c>
      <c r="M319" s="29"/>
      <c r="N319" s="29"/>
      <c r="O319" s="287">
        <f t="shared" si="260"/>
        <v>1</v>
      </c>
      <c r="P319" s="320">
        <v>2</v>
      </c>
      <c r="Q319" s="320"/>
      <c r="R319" s="25"/>
      <c r="S319" s="25"/>
      <c r="T319" s="25"/>
      <c r="U319" s="363"/>
      <c r="V319" s="77">
        <v>14</v>
      </c>
      <c r="W319" s="49"/>
      <c r="X319" s="2">
        <f t="shared" si="234"/>
        <v>0</v>
      </c>
      <c r="Y319" s="2">
        <f t="shared" si="235"/>
        <v>1</v>
      </c>
      <c r="Z319" s="2">
        <f t="shared" si="236"/>
        <v>0</v>
      </c>
      <c r="AA319" s="2">
        <f>SUM(X319:X319)</f>
        <v>0</v>
      </c>
      <c r="AB319" s="2">
        <f>SUM(Y319:Y319)</f>
        <v>1</v>
      </c>
      <c r="AC319" s="2">
        <f>SUM(Z319:Z319)</f>
        <v>0</v>
      </c>
    </row>
    <row r="320" spans="1:32" ht="13.5" customHeight="1">
      <c r="A320" s="367">
        <v>30</v>
      </c>
      <c r="B320" s="367" t="s">
        <v>25</v>
      </c>
      <c r="C320" s="367" t="s">
        <v>118</v>
      </c>
      <c r="D320" s="367"/>
      <c r="E320" s="367"/>
      <c r="F320" s="367" t="s">
        <v>121</v>
      </c>
      <c r="G320" s="376"/>
      <c r="H320" s="376"/>
      <c r="I320" s="375"/>
      <c r="J320" s="127">
        <v>16</v>
      </c>
      <c r="K320" s="131">
        <f t="shared" ref="K320:Q320" si="264">SUM(K322:K328)</f>
        <v>9.5</v>
      </c>
      <c r="L320" s="364">
        <f t="shared" si="264"/>
        <v>0</v>
      </c>
      <c r="M320" s="364">
        <f t="shared" si="264"/>
        <v>0</v>
      </c>
      <c r="N320" s="364">
        <f t="shared" si="264"/>
        <v>0</v>
      </c>
      <c r="O320" s="364">
        <f t="shared" si="264"/>
        <v>9.5</v>
      </c>
      <c r="P320" s="364">
        <f t="shared" si="264"/>
        <v>9</v>
      </c>
      <c r="Q320" s="364">
        <f t="shared" si="264"/>
        <v>10</v>
      </c>
      <c r="R320" s="128">
        <f>J320-K320</f>
        <v>6.5</v>
      </c>
      <c r="S320" s="276">
        <f>S321/28</f>
        <v>0</v>
      </c>
      <c r="T320" s="276"/>
      <c r="U320" s="362"/>
      <c r="V320" s="209"/>
      <c r="W320" s="106"/>
      <c r="X320" s="2">
        <f t="shared" si="234"/>
        <v>0</v>
      </c>
      <c r="Y320" s="2">
        <f t="shared" si="235"/>
        <v>0</v>
      </c>
      <c r="Z320" s="2">
        <f t="shared" si="236"/>
        <v>0</v>
      </c>
      <c r="AA320" s="2">
        <f>SUM(X320:X328)</f>
        <v>0</v>
      </c>
      <c r="AB320" s="2">
        <f>SUM(Y320:Y328)</f>
        <v>0.5</v>
      </c>
      <c r="AC320" s="2">
        <f>SUM(Z320:Z328)</f>
        <v>0</v>
      </c>
      <c r="AD320" s="274">
        <f>AA320/16</f>
        <v>0</v>
      </c>
      <c r="AE320" s="274">
        <f>AB320/16</f>
        <v>3.125E-2</v>
      </c>
      <c r="AF320" s="274">
        <f>AC320/16</f>
        <v>0</v>
      </c>
    </row>
    <row r="321" spans="1:32" ht="13.5" customHeight="1" thickBot="1">
      <c r="A321" s="368"/>
      <c r="B321" s="368"/>
      <c r="C321" s="368"/>
      <c r="D321" s="368"/>
      <c r="E321" s="368"/>
      <c r="F321" s="381"/>
      <c r="G321" s="370"/>
      <c r="H321" s="371"/>
      <c r="I321" s="373"/>
      <c r="J321" s="129">
        <v>448</v>
      </c>
      <c r="K321" s="132">
        <f>K320*28</f>
        <v>266</v>
      </c>
      <c r="L321" s="361"/>
      <c r="M321" s="361"/>
      <c r="N321" s="361"/>
      <c r="O321" s="361"/>
      <c r="P321" s="361"/>
      <c r="Q321" s="361"/>
      <c r="R321" s="126">
        <f>J321-K321</f>
        <v>182</v>
      </c>
      <c r="S321" s="248">
        <f>SUM(S322:S328)</f>
        <v>0</v>
      </c>
      <c r="T321" s="16"/>
      <c r="U321" s="363"/>
      <c r="V321" s="77"/>
      <c r="W321" s="49"/>
      <c r="X321" s="2">
        <f t="shared" si="234"/>
        <v>0</v>
      </c>
      <c r="Y321" s="2">
        <f t="shared" si="235"/>
        <v>0</v>
      </c>
      <c r="Z321" s="2">
        <f t="shared" si="236"/>
        <v>0</v>
      </c>
      <c r="AD321" s="262"/>
      <c r="AE321" s="262"/>
      <c r="AF321" s="262"/>
    </row>
    <row r="322" spans="1:32" ht="13.5" customHeight="1">
      <c r="A322" s="368"/>
      <c r="B322" s="368"/>
      <c r="C322" s="368"/>
      <c r="D322" s="368"/>
      <c r="E322" s="368"/>
      <c r="F322" s="289"/>
      <c r="G322" s="285" t="s">
        <v>59</v>
      </c>
      <c r="H322" s="240" t="s">
        <v>138</v>
      </c>
      <c r="I322" s="29"/>
      <c r="J322" s="240" t="s">
        <v>130</v>
      </c>
      <c r="K322" s="30">
        <f t="shared" ref="K322:K328" si="265">L322+O322</f>
        <v>2</v>
      </c>
      <c r="L322" s="287">
        <f>IF(I322="m",(M322+N322)*2.5*V323/28,(M322+N322)*2*V323/28)</f>
        <v>0</v>
      </c>
      <c r="M322" s="338"/>
      <c r="N322" s="338"/>
      <c r="O322" s="287">
        <f>IF(I322="m",(P322+Q322)*1.5*V323/28,(P322+Q322)*1*V323/28)</f>
        <v>2</v>
      </c>
      <c r="P322" s="292"/>
      <c r="Q322" s="292">
        <v>4</v>
      </c>
      <c r="R322" s="25"/>
      <c r="S322" s="25"/>
      <c r="T322" s="25"/>
      <c r="U322" s="363"/>
      <c r="V322" s="77">
        <v>14</v>
      </c>
      <c r="W322" s="49"/>
      <c r="X322" s="2">
        <f>IF(ISNUMBER(SEARCH("Aut",#REF!)),#REF!, 0)</f>
        <v>0</v>
      </c>
      <c r="Y322" s="2">
        <f>IF(ISNUMBER(SEARCH("Tst",#REF!)),#REF!, 0)</f>
        <v>0</v>
      </c>
      <c r="Z322" s="2">
        <f>IF(ISNUMBER(SEARCH("Calc",#REF!)),#REF!, 0)</f>
        <v>0</v>
      </c>
      <c r="AD322" s="262"/>
      <c r="AE322" s="262"/>
      <c r="AF322" s="262"/>
    </row>
    <row r="323" spans="1:32" ht="25.5">
      <c r="A323" s="368"/>
      <c r="B323" s="368"/>
      <c r="C323" s="368"/>
      <c r="D323" s="368"/>
      <c r="E323" s="368"/>
      <c r="F323" s="243"/>
      <c r="G323" s="285" t="s">
        <v>44</v>
      </c>
      <c r="H323" s="240" t="s">
        <v>55</v>
      </c>
      <c r="I323" s="29"/>
      <c r="J323" s="240" t="s">
        <v>64</v>
      </c>
      <c r="K323" s="310">
        <f t="shared" si="265"/>
        <v>0.5</v>
      </c>
      <c r="L323" s="287">
        <f>IF(I323="m",(M323+N323)*2.5*V324/28,(M323+N323)*2*V324/28)</f>
        <v>0</v>
      </c>
      <c r="M323" s="29"/>
      <c r="N323" s="29"/>
      <c r="O323" s="287">
        <f>IF(I323="m",(P323+Q323)*1.5*V324/28,(P323+Q323)*1*V324/28)</f>
        <v>0.5</v>
      </c>
      <c r="P323" s="29">
        <v>1</v>
      </c>
      <c r="Q323" s="29"/>
      <c r="R323" s="25"/>
      <c r="S323" s="25"/>
      <c r="T323" s="25"/>
      <c r="U323" s="363"/>
      <c r="V323" s="77">
        <v>14</v>
      </c>
      <c r="W323" s="49"/>
      <c r="X323" s="2">
        <f>IF(ISNUMBER(SEARCH("Aut",#REF!)),#REF!, 0)</f>
        <v>0</v>
      </c>
      <c r="Y323" s="2">
        <f>IF(ISNUMBER(SEARCH("Tst",#REF!)),#REF!, 0)</f>
        <v>0</v>
      </c>
      <c r="Z323" s="2">
        <f>IF(ISNUMBER(SEARCH("Calc",#REF!)),#REF!, 0)</f>
        <v>0</v>
      </c>
      <c r="AD323" s="262"/>
      <c r="AE323" s="262"/>
      <c r="AF323" s="262"/>
    </row>
    <row r="324" spans="1:32" ht="25.5">
      <c r="A324" s="368"/>
      <c r="B324" s="368"/>
      <c r="C324" s="368"/>
      <c r="D324" s="368"/>
      <c r="E324" s="368"/>
      <c r="F324" s="243"/>
      <c r="G324" s="285" t="s">
        <v>44</v>
      </c>
      <c r="H324" s="290" t="s">
        <v>49</v>
      </c>
      <c r="I324" s="29"/>
      <c r="J324" s="290" t="s">
        <v>65</v>
      </c>
      <c r="K324" s="310">
        <f t="shared" si="265"/>
        <v>1</v>
      </c>
      <c r="L324" s="287">
        <f>IF(I324="m",(M324+N324)*2.5*V325/28,(M324+N324)*2*V325/28)</f>
        <v>0</v>
      </c>
      <c r="M324" s="29"/>
      <c r="N324" s="29"/>
      <c r="O324" s="287">
        <f>IF(I324="m",(P324+Q324)*1.5*V325/28,(P324+Q324)*1*V325/28)</f>
        <v>1</v>
      </c>
      <c r="P324" s="290">
        <v>2</v>
      </c>
      <c r="Q324" s="291"/>
      <c r="R324" s="25"/>
      <c r="S324" s="25"/>
      <c r="T324" s="25"/>
      <c r="U324" s="363"/>
      <c r="V324" s="77">
        <v>14</v>
      </c>
      <c r="W324" s="49"/>
      <c r="X324" s="2">
        <f>IF(ISNUMBER(SEARCH("Aut",H334)),K334, 0)</f>
        <v>0</v>
      </c>
      <c r="Y324" s="2">
        <f>IF(ISNUMBER(SEARCH("Tst",H334)),K334, 0)</f>
        <v>0</v>
      </c>
      <c r="Z324" s="2">
        <f>IF(ISNUMBER(SEARCH("Calc",H334)),K334, 0)</f>
        <v>0</v>
      </c>
      <c r="AD324" s="262"/>
      <c r="AE324" s="262"/>
      <c r="AF324" s="262"/>
    </row>
    <row r="325" spans="1:32" ht="13.5" customHeight="1">
      <c r="A325" s="368"/>
      <c r="B325" s="368"/>
      <c r="C325" s="368"/>
      <c r="D325" s="368"/>
      <c r="E325" s="368"/>
      <c r="F325" s="339"/>
      <c r="G325" s="285" t="s">
        <v>57</v>
      </c>
      <c r="H325" s="240" t="s">
        <v>61</v>
      </c>
      <c r="I325" s="29"/>
      <c r="J325" s="240" t="s">
        <v>130</v>
      </c>
      <c r="K325" s="30">
        <f t="shared" si="265"/>
        <v>2</v>
      </c>
      <c r="L325" s="287">
        <f t="shared" ref="L325" si="266">IF(I325="m",(M325+N325)*2.5*V325/28,(M325+N325)*2*V325/28)</f>
        <v>0</v>
      </c>
      <c r="M325" s="240"/>
      <c r="N325" s="240"/>
      <c r="O325" s="287">
        <f t="shared" ref="O325" si="267">IF(I325="m",(P325+Q325)*1.5*V325/28,(P325+Q325)*1*V325/28)</f>
        <v>2</v>
      </c>
      <c r="P325" s="292"/>
      <c r="Q325" s="292">
        <v>4</v>
      </c>
      <c r="R325" s="25"/>
      <c r="S325" s="25"/>
      <c r="T325" s="25"/>
      <c r="U325" s="363"/>
      <c r="V325" s="77">
        <v>14</v>
      </c>
      <c r="W325" s="49"/>
      <c r="X325" s="2">
        <f>IF(ISNUMBER(SEARCH("Aut",H161)),K161, 0)</f>
        <v>0</v>
      </c>
      <c r="Y325" s="2">
        <f>IF(ISNUMBER(SEARCH("Tst",H161)),K161, 0)</f>
        <v>0</v>
      </c>
      <c r="Z325" s="2">
        <f>IF(ISNUMBER(SEARCH("Calc",H161)),K161, 0)</f>
        <v>0</v>
      </c>
      <c r="AD325" s="262"/>
      <c r="AE325" s="262"/>
      <c r="AF325" s="262"/>
    </row>
    <row r="326" spans="1:32">
      <c r="A326" s="368"/>
      <c r="B326" s="368"/>
      <c r="C326" s="368"/>
      <c r="D326" s="368"/>
      <c r="E326" s="368"/>
      <c r="F326" s="243"/>
      <c r="G326" s="285" t="s">
        <v>57</v>
      </c>
      <c r="H326" s="290" t="s">
        <v>49</v>
      </c>
      <c r="I326" s="29"/>
      <c r="J326" s="290" t="s">
        <v>65</v>
      </c>
      <c r="K326" s="30">
        <f t="shared" si="265"/>
        <v>1</v>
      </c>
      <c r="L326" s="30">
        <f>IF(I326="m",(M326+N326)*2.5*V184/28,(M326+N326)*2*V184/28)</f>
        <v>0</v>
      </c>
      <c r="M326" s="290"/>
      <c r="N326" s="290"/>
      <c r="O326" s="30">
        <f>IF(I326="m",(P326+Q326)*1.5*V184/28,(P326+Q326)*1*V184/28)</f>
        <v>1</v>
      </c>
      <c r="P326" s="290"/>
      <c r="Q326" s="290">
        <v>2</v>
      </c>
      <c r="R326" s="25"/>
      <c r="S326" s="25"/>
      <c r="T326" s="25"/>
      <c r="U326" s="363"/>
      <c r="V326" s="77">
        <v>14</v>
      </c>
      <c r="W326" s="49"/>
      <c r="X326" s="2">
        <f>IF(ISNUMBER(SEARCH("Aut",H162)),K162, 0)</f>
        <v>0</v>
      </c>
      <c r="Y326" s="2">
        <f>IF(ISNUMBER(SEARCH("Tst",H162)),K162, 0)</f>
        <v>0.5</v>
      </c>
      <c r="Z326" s="2">
        <f>IF(ISNUMBER(SEARCH("Calc",H162)),K162, 0)</f>
        <v>0</v>
      </c>
      <c r="AD326" s="262"/>
      <c r="AE326" s="262"/>
      <c r="AF326" s="262"/>
    </row>
    <row r="327" spans="1:32" ht="25.5">
      <c r="A327" s="368"/>
      <c r="B327" s="368"/>
      <c r="C327" s="368"/>
      <c r="D327" s="368"/>
      <c r="E327" s="368"/>
      <c r="F327" s="243"/>
      <c r="G327" s="322" t="s">
        <v>58</v>
      </c>
      <c r="H327" s="290" t="s">
        <v>138</v>
      </c>
      <c r="I327" s="29"/>
      <c r="J327" s="290" t="s">
        <v>130</v>
      </c>
      <c r="K327" s="30">
        <f t="shared" si="265"/>
        <v>2</v>
      </c>
      <c r="L327" s="30">
        <f>IF(I327="m",(M327+N327)*2.5*V185/28,(M327+N327)*2*V185/28)</f>
        <v>0</v>
      </c>
      <c r="M327" s="290"/>
      <c r="N327" s="290"/>
      <c r="O327" s="30">
        <f>IF(I327="m",(P327+Q327)*1.5*V185/28,(P327+Q327)*1*V185/28)</f>
        <v>2</v>
      </c>
      <c r="P327" s="290">
        <v>4</v>
      </c>
      <c r="Q327" s="290"/>
      <c r="R327" s="25"/>
      <c r="S327" s="25"/>
      <c r="T327" s="25"/>
      <c r="U327" s="363"/>
      <c r="V327" s="77">
        <v>14</v>
      </c>
      <c r="W327" s="49"/>
      <c r="X327" s="2">
        <f>IF(ISNUMBER(SEARCH("Aut",#REF!)),#REF!, 0)</f>
        <v>0</v>
      </c>
      <c r="Y327" s="2">
        <f>IF(ISNUMBER(SEARCH("Tst",#REF!)),#REF!, 0)</f>
        <v>0</v>
      </c>
      <c r="Z327" s="2">
        <f>IF(ISNUMBER(SEARCH("Calc",#REF!)),#REF!, 0)</f>
        <v>0</v>
      </c>
      <c r="AD327" s="262"/>
      <c r="AE327" s="262"/>
      <c r="AF327" s="262"/>
    </row>
    <row r="328" spans="1:32" ht="26.25" thickBot="1">
      <c r="A328" s="380"/>
      <c r="B328" s="380"/>
      <c r="C328" s="380"/>
      <c r="D328" s="380"/>
      <c r="E328" s="380"/>
      <c r="F328" s="284"/>
      <c r="G328" s="340" t="s">
        <v>58</v>
      </c>
      <c r="H328" s="341" t="s">
        <v>146</v>
      </c>
      <c r="I328" s="295"/>
      <c r="J328" s="341" t="s">
        <v>65</v>
      </c>
      <c r="K328" s="296">
        <f t="shared" si="265"/>
        <v>1</v>
      </c>
      <c r="L328" s="296">
        <f>IF(I328="m",(M328+N328)*2.5*V187/28,(M328+N328)*2*V187/28)</f>
        <v>0</v>
      </c>
      <c r="M328" s="342"/>
      <c r="N328" s="341"/>
      <c r="O328" s="296">
        <f>IF(I328="m",(P328+Q328)*1.5*V187/28,(P328+Q328)*1*V187/28)</f>
        <v>1</v>
      </c>
      <c r="P328" s="341">
        <v>2</v>
      </c>
      <c r="Q328" s="341"/>
      <c r="R328" s="107"/>
      <c r="S328" s="107"/>
      <c r="T328" s="110"/>
      <c r="U328" s="363"/>
      <c r="V328" s="77">
        <v>14</v>
      </c>
      <c r="W328" s="49"/>
      <c r="X328" s="2">
        <f>IF(ISNUMBER(SEARCH("Aut",H392)),K392, 0)</f>
        <v>0</v>
      </c>
      <c r="Y328" s="2">
        <f>IF(ISNUMBER(SEARCH("Tst",H392)),K392, 0)</f>
        <v>0</v>
      </c>
      <c r="Z328" s="2">
        <f>IF(ISNUMBER(SEARCH("Calc",H392)),K392, 0)</f>
        <v>0</v>
      </c>
      <c r="AD328" s="262"/>
      <c r="AE328" s="262"/>
      <c r="AF328" s="262"/>
    </row>
    <row r="329" spans="1:32" ht="13.5" customHeight="1">
      <c r="A329" s="275"/>
      <c r="B329" s="275"/>
      <c r="C329" s="275"/>
      <c r="D329" s="275"/>
      <c r="E329" s="275"/>
      <c r="F329" s="275"/>
      <c r="G329" s="289"/>
      <c r="H329" s="286"/>
      <c r="I329" s="333"/>
      <c r="J329" s="334"/>
      <c r="K329" s="287"/>
      <c r="L329" s="287"/>
      <c r="M329" s="288"/>
      <c r="N329" s="288"/>
      <c r="O329" s="287"/>
      <c r="P329" s="335"/>
      <c r="Q329" s="336"/>
      <c r="R329" s="337"/>
      <c r="S329" s="116"/>
      <c r="T329" s="116"/>
      <c r="U329" s="278"/>
      <c r="V329" s="211"/>
      <c r="W329" s="237"/>
    </row>
    <row r="330" spans="1:32" ht="13.5" customHeight="1">
      <c r="A330" s="275"/>
      <c r="B330" s="275"/>
      <c r="C330" s="275"/>
      <c r="D330" s="275"/>
      <c r="E330" s="275"/>
      <c r="F330" s="275"/>
      <c r="G330" s="289"/>
      <c r="H330" s="286"/>
      <c r="I330" s="333"/>
      <c r="J330" s="334"/>
      <c r="K330" s="287"/>
      <c r="L330" s="287"/>
      <c r="M330" s="288"/>
      <c r="N330" s="288"/>
      <c r="O330" s="287"/>
      <c r="P330" s="335"/>
      <c r="Q330" s="336"/>
      <c r="R330" s="337"/>
      <c r="S330" s="116"/>
      <c r="T330" s="116"/>
      <c r="U330" s="278"/>
      <c r="V330" s="211"/>
      <c r="W330" s="237"/>
    </row>
    <row r="331" spans="1:32" ht="13.5" customHeight="1" thickBot="1">
      <c r="A331" s="275"/>
      <c r="B331" s="275"/>
      <c r="C331" s="275"/>
      <c r="D331" s="275"/>
      <c r="E331" s="275"/>
      <c r="F331" s="275"/>
      <c r="G331" s="289"/>
      <c r="H331" s="286"/>
      <c r="I331" s="333"/>
      <c r="J331" s="334"/>
      <c r="K331" s="287"/>
      <c r="L331" s="287"/>
      <c r="M331" s="288"/>
      <c r="N331" s="288"/>
      <c r="O331" s="287"/>
      <c r="P331" s="335"/>
      <c r="Q331" s="336"/>
      <c r="R331" s="337"/>
      <c r="S331" s="116"/>
      <c r="T331" s="116"/>
      <c r="U331" s="278"/>
      <c r="V331" s="211"/>
      <c r="W331" s="237"/>
    </row>
    <row r="332" spans="1:32" ht="12.75" customHeight="1">
      <c r="A332" s="367">
        <v>1</v>
      </c>
      <c r="B332" s="367" t="s">
        <v>31</v>
      </c>
      <c r="C332" s="367" t="s">
        <v>118</v>
      </c>
      <c r="D332" s="367"/>
      <c r="E332" s="367"/>
      <c r="F332" s="367"/>
      <c r="G332" s="369"/>
      <c r="H332" s="369"/>
      <c r="I332" s="372"/>
      <c r="J332" s="244">
        <v>16</v>
      </c>
      <c r="K332" s="245">
        <f t="shared" ref="K332:Q332" si="268">SUM(K334:K343)</f>
        <v>14.75</v>
      </c>
      <c r="L332" s="360">
        <f t="shared" si="268"/>
        <v>8.75</v>
      </c>
      <c r="M332" s="360">
        <f t="shared" si="268"/>
        <v>7</v>
      </c>
      <c r="N332" s="360">
        <f t="shared" si="268"/>
        <v>0</v>
      </c>
      <c r="O332" s="360">
        <f t="shared" si="268"/>
        <v>6</v>
      </c>
      <c r="P332" s="360">
        <f t="shared" si="268"/>
        <v>8</v>
      </c>
      <c r="Q332" s="379">
        <f t="shared" si="268"/>
        <v>0</v>
      </c>
      <c r="R332" s="128">
        <f>J332-K332</f>
        <v>1.25</v>
      </c>
      <c r="S332" s="233">
        <f>S333/28</f>
        <v>0</v>
      </c>
      <c r="T332" s="233"/>
      <c r="U332" s="362"/>
      <c r="V332" s="209"/>
      <c r="W332" s="106"/>
    </row>
    <row r="333" spans="1:32" ht="13.5" customHeight="1" thickBot="1">
      <c r="A333" s="368"/>
      <c r="B333" s="368"/>
      <c r="C333" s="368"/>
      <c r="D333" s="368"/>
      <c r="E333" s="368"/>
      <c r="F333" s="432"/>
      <c r="G333" s="370"/>
      <c r="H333" s="371"/>
      <c r="I333" s="373"/>
      <c r="J333" s="129">
        <v>448</v>
      </c>
      <c r="K333" s="132">
        <f>K332*28</f>
        <v>413</v>
      </c>
      <c r="L333" s="361"/>
      <c r="M333" s="361"/>
      <c r="N333" s="361"/>
      <c r="O333" s="361"/>
      <c r="P333" s="361"/>
      <c r="Q333" s="366"/>
      <c r="R333" s="126">
        <f>J333-K333</f>
        <v>35</v>
      </c>
      <c r="S333" s="108">
        <f>SUM(S334:S343)</f>
        <v>0</v>
      </c>
      <c r="T333" s="16"/>
      <c r="U333" s="363"/>
      <c r="V333" s="77"/>
      <c r="W333" s="49"/>
    </row>
    <row r="334" spans="1:32" ht="25.5" customHeight="1">
      <c r="A334" s="368"/>
      <c r="B334" s="368"/>
      <c r="C334" s="368"/>
      <c r="D334" s="368"/>
      <c r="E334" s="368"/>
      <c r="F334" s="120"/>
      <c r="G334" s="271" t="s">
        <v>263</v>
      </c>
      <c r="H334" s="124" t="s">
        <v>264</v>
      </c>
      <c r="I334" s="25" t="s">
        <v>37</v>
      </c>
      <c r="J334" s="135" t="s">
        <v>265</v>
      </c>
      <c r="K334" s="117">
        <f t="shared" ref="K334:K343" si="269">L334+O334</f>
        <v>1.25</v>
      </c>
      <c r="L334" s="117">
        <f t="shared" ref="L334:L343" si="270">IF(I334="m",(M334+N334)*2.5*V334/28,(M334+N334)*2*V334/28)</f>
        <v>1.25</v>
      </c>
      <c r="M334" s="135">
        <v>1</v>
      </c>
      <c r="N334" s="133"/>
      <c r="O334" s="117">
        <f t="shared" ref="O334:O343" si="271">IF(I334="m",(P334+Q334)*1.5*V334/28,(P334+Q334)*1*V334/28)</f>
        <v>0</v>
      </c>
      <c r="P334" s="122"/>
      <c r="Q334" s="134"/>
      <c r="R334" s="25"/>
      <c r="S334" s="25"/>
      <c r="T334" s="25"/>
      <c r="U334" s="363"/>
      <c r="V334" s="77">
        <v>14</v>
      </c>
      <c r="W334" s="49"/>
    </row>
    <row r="335" spans="1:32" ht="25.5" customHeight="1">
      <c r="A335" s="368"/>
      <c r="B335" s="368"/>
      <c r="C335" s="368"/>
      <c r="D335" s="368"/>
      <c r="E335" s="368"/>
      <c r="F335" s="120"/>
      <c r="G335" s="271" t="s">
        <v>263</v>
      </c>
      <c r="H335" s="124" t="s">
        <v>264</v>
      </c>
      <c r="I335" s="25" t="s">
        <v>37</v>
      </c>
      <c r="J335" s="124" t="s">
        <v>266</v>
      </c>
      <c r="K335" s="35">
        <f t="shared" si="269"/>
        <v>0.75</v>
      </c>
      <c r="L335" s="35">
        <f t="shared" si="270"/>
        <v>0</v>
      </c>
      <c r="M335" s="124"/>
      <c r="N335" s="122"/>
      <c r="O335" s="35">
        <f t="shared" si="271"/>
        <v>0.75</v>
      </c>
      <c r="P335" s="124">
        <v>1</v>
      </c>
      <c r="Q335" s="122"/>
      <c r="R335" s="25"/>
      <c r="S335" s="25"/>
      <c r="T335" s="25"/>
      <c r="U335" s="363"/>
      <c r="V335" s="77">
        <v>14</v>
      </c>
      <c r="W335" s="49"/>
    </row>
    <row r="336" spans="1:32" ht="38.25" customHeight="1">
      <c r="A336" s="368"/>
      <c r="B336" s="368"/>
      <c r="C336" s="368"/>
      <c r="D336" s="368"/>
      <c r="E336" s="368"/>
      <c r="F336" s="15"/>
      <c r="G336" s="271" t="s">
        <v>267</v>
      </c>
      <c r="H336" s="135" t="s">
        <v>200</v>
      </c>
      <c r="I336" s="25" t="s">
        <v>37</v>
      </c>
      <c r="J336" s="135" t="s">
        <v>265</v>
      </c>
      <c r="K336" s="35">
        <f t="shared" si="269"/>
        <v>2.5</v>
      </c>
      <c r="L336" s="35">
        <f t="shared" si="270"/>
        <v>2.5</v>
      </c>
      <c r="M336" s="135">
        <v>2</v>
      </c>
      <c r="N336" s="133"/>
      <c r="O336" s="35">
        <f t="shared" si="271"/>
        <v>0</v>
      </c>
      <c r="P336" s="133"/>
      <c r="Q336" s="133"/>
      <c r="R336" s="25"/>
      <c r="S336" s="25"/>
      <c r="T336" s="25"/>
      <c r="U336" s="363"/>
      <c r="V336" s="77">
        <v>14</v>
      </c>
      <c r="W336" s="49"/>
    </row>
    <row r="337" spans="1:23">
      <c r="A337" s="368"/>
      <c r="B337" s="368"/>
      <c r="C337" s="368"/>
      <c r="D337" s="368"/>
      <c r="E337" s="368"/>
      <c r="F337" s="15"/>
      <c r="G337" s="271" t="s">
        <v>267</v>
      </c>
      <c r="H337" s="135" t="s">
        <v>264</v>
      </c>
      <c r="I337" s="25" t="s">
        <v>37</v>
      </c>
      <c r="J337" s="135" t="s">
        <v>269</v>
      </c>
      <c r="K337" s="35">
        <f t="shared" si="269"/>
        <v>1.5</v>
      </c>
      <c r="L337" s="35">
        <f t="shared" si="270"/>
        <v>0</v>
      </c>
      <c r="M337" s="135"/>
      <c r="N337" s="133"/>
      <c r="O337" s="35">
        <f t="shared" si="271"/>
        <v>1.5</v>
      </c>
      <c r="P337" s="135">
        <v>2</v>
      </c>
      <c r="Q337" s="125"/>
      <c r="R337" s="49"/>
      <c r="S337" s="49"/>
      <c r="T337" s="25"/>
      <c r="U337" s="363"/>
      <c r="V337" s="77">
        <v>14</v>
      </c>
      <c r="W337" s="49"/>
    </row>
    <row r="338" spans="1:23">
      <c r="A338" s="368"/>
      <c r="B338" s="368"/>
      <c r="C338" s="368"/>
      <c r="D338" s="368"/>
      <c r="E338" s="368"/>
      <c r="F338" s="15"/>
      <c r="G338" s="271" t="s">
        <v>267</v>
      </c>
      <c r="H338" s="124" t="s">
        <v>268</v>
      </c>
      <c r="I338" s="25" t="s">
        <v>37</v>
      </c>
      <c r="J338" s="124" t="s">
        <v>269</v>
      </c>
      <c r="K338" s="35">
        <f t="shared" si="269"/>
        <v>1.5</v>
      </c>
      <c r="L338" s="35">
        <f t="shared" si="270"/>
        <v>0</v>
      </c>
      <c r="M338" s="135"/>
      <c r="N338" s="133"/>
      <c r="O338" s="35">
        <f t="shared" si="271"/>
        <v>1.5</v>
      </c>
      <c r="P338" s="135">
        <v>2</v>
      </c>
      <c r="Q338" s="125"/>
      <c r="R338" s="49"/>
      <c r="S338" s="49"/>
      <c r="T338" s="25"/>
      <c r="U338" s="363"/>
      <c r="V338" s="77">
        <v>14</v>
      </c>
      <c r="W338" s="49"/>
    </row>
    <row r="339" spans="1:23" ht="25.5" customHeight="1">
      <c r="A339" s="368"/>
      <c r="B339" s="368"/>
      <c r="C339" s="368"/>
      <c r="D339" s="368"/>
      <c r="E339" s="368"/>
      <c r="F339" s="15"/>
      <c r="G339" s="271" t="s">
        <v>270</v>
      </c>
      <c r="H339" s="124" t="s">
        <v>264</v>
      </c>
      <c r="I339" s="25" t="s">
        <v>37</v>
      </c>
      <c r="J339" s="135" t="s">
        <v>265</v>
      </c>
      <c r="K339" s="35">
        <f t="shared" si="269"/>
        <v>1.25</v>
      </c>
      <c r="L339" s="35">
        <f t="shared" si="270"/>
        <v>1.25</v>
      </c>
      <c r="M339" s="135">
        <v>1</v>
      </c>
      <c r="N339" s="133"/>
      <c r="O339" s="35">
        <f t="shared" si="271"/>
        <v>0</v>
      </c>
      <c r="P339" s="135"/>
      <c r="Q339" s="125"/>
      <c r="R339" s="49"/>
      <c r="S339" s="49"/>
      <c r="T339" s="25"/>
      <c r="U339" s="363"/>
      <c r="V339" s="77">
        <v>14</v>
      </c>
      <c r="W339" s="49"/>
    </row>
    <row r="340" spans="1:23" ht="25.5" customHeight="1">
      <c r="A340" s="368"/>
      <c r="B340" s="368"/>
      <c r="C340" s="368"/>
      <c r="D340" s="368"/>
      <c r="E340" s="368"/>
      <c r="F340" s="15"/>
      <c r="G340" s="271" t="s">
        <v>270</v>
      </c>
      <c r="H340" s="124" t="s">
        <v>264</v>
      </c>
      <c r="I340" s="25" t="s">
        <v>37</v>
      </c>
      <c r="J340" s="124" t="s">
        <v>269</v>
      </c>
      <c r="K340" s="35">
        <f t="shared" si="269"/>
        <v>1.5</v>
      </c>
      <c r="L340" s="35">
        <f t="shared" si="270"/>
        <v>0</v>
      </c>
      <c r="M340" s="135"/>
      <c r="N340" s="133"/>
      <c r="O340" s="35">
        <f t="shared" si="271"/>
        <v>1.5</v>
      </c>
      <c r="P340" s="135">
        <v>2</v>
      </c>
      <c r="Q340" s="125"/>
      <c r="R340" s="49"/>
      <c r="S340" s="49"/>
      <c r="T340" s="25"/>
      <c r="U340" s="363"/>
      <c r="V340" s="77">
        <v>14</v>
      </c>
      <c r="W340" s="49"/>
    </row>
    <row r="341" spans="1:23" ht="25.5" customHeight="1">
      <c r="A341" s="368"/>
      <c r="B341" s="368"/>
      <c r="C341" s="368"/>
      <c r="D341" s="368"/>
      <c r="E341" s="368"/>
      <c r="F341" s="15"/>
      <c r="G341" s="271" t="s">
        <v>271</v>
      </c>
      <c r="H341" s="124" t="s">
        <v>264</v>
      </c>
      <c r="I341" s="25" t="s">
        <v>37</v>
      </c>
      <c r="J341" s="124" t="s">
        <v>265</v>
      </c>
      <c r="K341" s="35">
        <f t="shared" si="269"/>
        <v>1.25</v>
      </c>
      <c r="L341" s="35">
        <f t="shared" si="270"/>
        <v>1.25</v>
      </c>
      <c r="M341" s="135">
        <v>1</v>
      </c>
      <c r="N341" s="133"/>
      <c r="O341" s="35">
        <f t="shared" si="271"/>
        <v>0</v>
      </c>
      <c r="P341" s="135"/>
      <c r="Q341" s="125"/>
      <c r="R341" s="49"/>
      <c r="S341" s="49"/>
      <c r="T341" s="25"/>
      <c r="U341" s="363"/>
      <c r="V341" s="77">
        <v>14</v>
      </c>
      <c r="W341" s="49"/>
    </row>
    <row r="342" spans="1:23" ht="25.5" customHeight="1">
      <c r="A342" s="368"/>
      <c r="B342" s="368"/>
      <c r="C342" s="368"/>
      <c r="D342" s="368"/>
      <c r="E342" s="368"/>
      <c r="F342" s="15"/>
      <c r="G342" s="271" t="s">
        <v>271</v>
      </c>
      <c r="H342" s="124" t="s">
        <v>264</v>
      </c>
      <c r="I342" s="25" t="s">
        <v>37</v>
      </c>
      <c r="J342" s="124" t="s">
        <v>269</v>
      </c>
      <c r="K342" s="35">
        <f t="shared" si="269"/>
        <v>0.75</v>
      </c>
      <c r="L342" s="35">
        <f t="shared" si="270"/>
        <v>0</v>
      </c>
      <c r="M342" s="135"/>
      <c r="N342" s="133"/>
      <c r="O342" s="35">
        <f t="shared" si="271"/>
        <v>0.75</v>
      </c>
      <c r="P342" s="135">
        <v>1</v>
      </c>
      <c r="Q342" s="125"/>
      <c r="R342" s="49"/>
      <c r="S342" s="49"/>
      <c r="T342" s="25"/>
      <c r="U342" s="363"/>
      <c r="V342" s="77">
        <v>14</v>
      </c>
      <c r="W342" s="49"/>
    </row>
    <row r="343" spans="1:23" ht="39" customHeight="1" thickBot="1">
      <c r="A343" s="368"/>
      <c r="B343" s="368"/>
      <c r="C343" s="368"/>
      <c r="D343" s="368"/>
      <c r="E343" s="368"/>
      <c r="F343" s="120"/>
      <c r="G343" s="280" t="s">
        <v>272</v>
      </c>
      <c r="H343" s="124" t="s">
        <v>264</v>
      </c>
      <c r="I343" s="25" t="s">
        <v>37</v>
      </c>
      <c r="J343" s="124" t="s">
        <v>265</v>
      </c>
      <c r="K343" s="35">
        <f t="shared" si="269"/>
        <v>2.5</v>
      </c>
      <c r="L343" s="35">
        <f t="shared" si="270"/>
        <v>2.5</v>
      </c>
      <c r="M343" s="135">
        <v>2</v>
      </c>
      <c r="N343" s="133"/>
      <c r="O343" s="35">
        <f t="shared" si="271"/>
        <v>0</v>
      </c>
      <c r="P343" s="135"/>
      <c r="Q343" s="273"/>
      <c r="R343" s="49"/>
      <c r="S343" s="49"/>
      <c r="T343" s="25"/>
      <c r="U343" s="363"/>
      <c r="V343" s="77">
        <v>14</v>
      </c>
      <c r="W343" s="49"/>
    </row>
    <row r="344" spans="1:23" ht="12.75" customHeight="1">
      <c r="A344" s="367">
        <v>2</v>
      </c>
      <c r="B344" s="367" t="s">
        <v>31</v>
      </c>
      <c r="C344" s="367" t="s">
        <v>118</v>
      </c>
      <c r="D344" s="367"/>
      <c r="E344" s="367"/>
      <c r="F344" s="367"/>
      <c r="G344" s="376"/>
      <c r="H344" s="376"/>
      <c r="I344" s="375"/>
      <c r="J344" s="127">
        <v>16</v>
      </c>
      <c r="K344" s="131">
        <f t="shared" ref="K344:Q344" si="272">SUM(K346:K350)</f>
        <v>9.5</v>
      </c>
      <c r="L344" s="364">
        <f t="shared" si="272"/>
        <v>5</v>
      </c>
      <c r="M344" s="364">
        <f t="shared" si="272"/>
        <v>0</v>
      </c>
      <c r="N344" s="364">
        <f t="shared" si="272"/>
        <v>4</v>
      </c>
      <c r="O344" s="364">
        <f t="shared" si="272"/>
        <v>4.5</v>
      </c>
      <c r="P344" s="364">
        <f t="shared" si="272"/>
        <v>0</v>
      </c>
      <c r="Q344" s="379">
        <f t="shared" si="272"/>
        <v>6</v>
      </c>
      <c r="R344" s="128">
        <f>J344-K344</f>
        <v>6.5</v>
      </c>
      <c r="S344" s="233" t="e">
        <f>S345/28</f>
        <v>#REF!</v>
      </c>
      <c r="T344" s="233"/>
      <c r="U344" s="362"/>
      <c r="V344" s="209"/>
      <c r="W344" s="106"/>
    </row>
    <row r="345" spans="1:23" ht="13.5" customHeight="1" thickBot="1">
      <c r="A345" s="368"/>
      <c r="B345" s="368"/>
      <c r="C345" s="368"/>
      <c r="D345" s="368"/>
      <c r="E345" s="368"/>
      <c r="F345" s="432"/>
      <c r="G345" s="370"/>
      <c r="H345" s="371"/>
      <c r="I345" s="373"/>
      <c r="J345" s="129">
        <v>448</v>
      </c>
      <c r="K345" s="132">
        <f>K344*28</f>
        <v>266</v>
      </c>
      <c r="L345" s="361"/>
      <c r="M345" s="361"/>
      <c r="N345" s="361"/>
      <c r="O345" s="361"/>
      <c r="P345" s="361"/>
      <c r="Q345" s="366"/>
      <c r="R345" s="126">
        <f>J345-K345</f>
        <v>182</v>
      </c>
      <c r="S345" s="108" t="e">
        <f>SUM(#REF!)</f>
        <v>#REF!</v>
      </c>
      <c r="T345" s="16"/>
      <c r="U345" s="363"/>
      <c r="V345" s="77"/>
      <c r="W345" s="49"/>
    </row>
    <row r="346" spans="1:23" ht="25.5" customHeight="1">
      <c r="A346" s="368"/>
      <c r="B346" s="368"/>
      <c r="C346" s="368"/>
      <c r="D346" s="368"/>
      <c r="E346" s="368"/>
      <c r="F346" s="120"/>
      <c r="G346" s="281" t="s">
        <v>273</v>
      </c>
      <c r="H346" s="122" t="s">
        <v>200</v>
      </c>
      <c r="I346" s="25" t="s">
        <v>37</v>
      </c>
      <c r="J346" s="135" t="s">
        <v>265</v>
      </c>
      <c r="K346" s="35">
        <f t="shared" ref="K346:K350" si="273">L346+O346</f>
        <v>2.5</v>
      </c>
      <c r="L346" s="35">
        <f t="shared" ref="L346:L350" si="274">IF(I346="m",(M346+N346)*2.5*V346/28,(M346+N346)*2*V346/28)</f>
        <v>2.5</v>
      </c>
      <c r="M346" s="124"/>
      <c r="N346" s="122">
        <v>2</v>
      </c>
      <c r="O346" s="35">
        <f t="shared" ref="O346:O350" si="275">IF(I346="m",(P346+Q346)*1.5*V346/28,(P346+Q346)*1*V346/28)</f>
        <v>0</v>
      </c>
      <c r="P346" s="137"/>
      <c r="Q346" s="112"/>
      <c r="R346" s="126"/>
      <c r="S346" s="108"/>
      <c r="T346" s="16"/>
      <c r="U346" s="363"/>
      <c r="V346" s="77">
        <v>14</v>
      </c>
      <c r="W346" s="49"/>
    </row>
    <row r="347" spans="1:23" ht="25.5" customHeight="1">
      <c r="A347" s="368"/>
      <c r="B347" s="368"/>
      <c r="C347" s="368"/>
      <c r="D347" s="368"/>
      <c r="E347" s="368"/>
      <c r="F347" s="120"/>
      <c r="G347" s="281" t="s">
        <v>273</v>
      </c>
      <c r="H347" s="122" t="s">
        <v>200</v>
      </c>
      <c r="I347" s="25" t="s">
        <v>37</v>
      </c>
      <c r="J347" s="124" t="s">
        <v>269</v>
      </c>
      <c r="K347" s="35">
        <f t="shared" si="273"/>
        <v>1.5</v>
      </c>
      <c r="L347" s="35">
        <f t="shared" si="274"/>
        <v>0</v>
      </c>
      <c r="M347" s="124"/>
      <c r="N347" s="122"/>
      <c r="O347" s="35">
        <f t="shared" si="275"/>
        <v>1.5</v>
      </c>
      <c r="P347" s="137"/>
      <c r="Q347" s="205">
        <v>2</v>
      </c>
      <c r="R347" s="126"/>
      <c r="S347" s="108"/>
      <c r="T347" s="16"/>
      <c r="U347" s="363"/>
      <c r="V347" s="77">
        <v>14</v>
      </c>
      <c r="W347" s="49"/>
    </row>
    <row r="348" spans="1:23" ht="12.75" customHeight="1">
      <c r="A348" s="368"/>
      <c r="B348" s="368"/>
      <c r="C348" s="368"/>
      <c r="D348" s="368"/>
      <c r="E348" s="368"/>
      <c r="F348" s="120"/>
      <c r="G348" s="271" t="s">
        <v>274</v>
      </c>
      <c r="H348" s="124" t="s">
        <v>275</v>
      </c>
      <c r="I348" s="25" t="s">
        <v>37</v>
      </c>
      <c r="J348" s="135"/>
      <c r="K348" s="35">
        <f t="shared" ref="K348:K349" si="276">L348+O348</f>
        <v>2.5</v>
      </c>
      <c r="L348" s="35">
        <f t="shared" ref="L348:L349" si="277">IF(I348="m",(M348+N348)*2.5*V348/28,(M348+N348)*2*V348/28)</f>
        <v>2.5</v>
      </c>
      <c r="M348" s="124"/>
      <c r="N348" s="124">
        <v>2</v>
      </c>
      <c r="O348" s="35">
        <f t="shared" si="275"/>
        <v>0</v>
      </c>
      <c r="P348" s="137"/>
      <c r="Q348" s="205"/>
      <c r="R348" s="126"/>
      <c r="S348" s="248"/>
      <c r="T348" s="16"/>
      <c r="U348" s="363"/>
      <c r="V348" s="77">
        <v>14</v>
      </c>
      <c r="W348" s="49"/>
    </row>
    <row r="349" spans="1:23" ht="12.75" customHeight="1">
      <c r="A349" s="368"/>
      <c r="B349" s="368"/>
      <c r="C349" s="368"/>
      <c r="D349" s="368"/>
      <c r="E349" s="368"/>
      <c r="F349" s="120"/>
      <c r="G349" s="271" t="s">
        <v>274</v>
      </c>
      <c r="H349" s="124" t="s">
        <v>200</v>
      </c>
      <c r="I349" s="25" t="s">
        <v>37</v>
      </c>
      <c r="J349" s="135"/>
      <c r="K349" s="35">
        <f t="shared" si="276"/>
        <v>1.5</v>
      </c>
      <c r="L349" s="35">
        <f t="shared" si="277"/>
        <v>0</v>
      </c>
      <c r="M349" s="124"/>
      <c r="N349" s="124"/>
      <c r="O349" s="35">
        <f t="shared" si="275"/>
        <v>1.5</v>
      </c>
      <c r="P349" s="137"/>
      <c r="Q349" s="205">
        <v>2</v>
      </c>
      <c r="R349" s="126"/>
      <c r="S349" s="248"/>
      <c r="T349" s="16"/>
      <c r="U349" s="363"/>
      <c r="V349" s="77">
        <v>14</v>
      </c>
      <c r="W349" s="49"/>
    </row>
    <row r="350" spans="1:23" ht="13.5" customHeight="1" thickBot="1">
      <c r="A350" s="368"/>
      <c r="B350" s="368"/>
      <c r="C350" s="368"/>
      <c r="D350" s="368"/>
      <c r="E350" s="368"/>
      <c r="F350" s="120"/>
      <c r="G350" s="271" t="s">
        <v>274</v>
      </c>
      <c r="H350" s="124" t="s">
        <v>208</v>
      </c>
      <c r="I350" s="25" t="s">
        <v>37</v>
      </c>
      <c r="J350" s="135"/>
      <c r="K350" s="35">
        <f t="shared" si="273"/>
        <v>1.5</v>
      </c>
      <c r="L350" s="35">
        <f t="shared" si="274"/>
        <v>0</v>
      </c>
      <c r="M350" s="124"/>
      <c r="N350" s="124"/>
      <c r="O350" s="35">
        <f t="shared" si="275"/>
        <v>1.5</v>
      </c>
      <c r="P350" s="137"/>
      <c r="Q350" s="205">
        <v>2</v>
      </c>
      <c r="R350" s="126"/>
      <c r="S350" s="108"/>
      <c r="T350" s="16"/>
      <c r="U350" s="363"/>
      <c r="V350" s="77">
        <v>14</v>
      </c>
      <c r="W350" s="49"/>
    </row>
    <row r="351" spans="1:23" ht="12.75" customHeight="1">
      <c r="A351" s="367">
        <v>3</v>
      </c>
      <c r="B351" s="367" t="s">
        <v>16</v>
      </c>
      <c r="C351" s="367" t="s">
        <v>118</v>
      </c>
      <c r="D351" s="367"/>
      <c r="E351" s="367"/>
      <c r="F351" s="367"/>
      <c r="G351" s="376"/>
      <c r="H351" s="376"/>
      <c r="I351" s="375"/>
      <c r="J351" s="127">
        <v>16</v>
      </c>
      <c r="K351" s="131">
        <f t="shared" ref="K351:Q351" si="278">SUM(K353:K358)</f>
        <v>12</v>
      </c>
      <c r="L351" s="364">
        <f t="shared" si="278"/>
        <v>7.5</v>
      </c>
      <c r="M351" s="364">
        <f t="shared" si="278"/>
        <v>0</v>
      </c>
      <c r="N351" s="364">
        <f t="shared" si="278"/>
        <v>6</v>
      </c>
      <c r="O351" s="364">
        <f t="shared" si="278"/>
        <v>4.5</v>
      </c>
      <c r="P351" s="364">
        <f t="shared" si="278"/>
        <v>0</v>
      </c>
      <c r="Q351" s="365">
        <f t="shared" si="278"/>
        <v>6</v>
      </c>
      <c r="R351" s="128">
        <f>J351-K351</f>
        <v>4</v>
      </c>
      <c r="S351" s="233">
        <f>S352/28</f>
        <v>0</v>
      </c>
      <c r="T351" s="233"/>
      <c r="U351" s="362"/>
      <c r="V351" s="209"/>
      <c r="W351" s="106"/>
    </row>
    <row r="352" spans="1:23" ht="13.5" customHeight="1" thickBot="1">
      <c r="A352" s="368"/>
      <c r="B352" s="368"/>
      <c r="C352" s="368"/>
      <c r="D352" s="368"/>
      <c r="E352" s="368"/>
      <c r="F352" s="432"/>
      <c r="G352" s="370"/>
      <c r="H352" s="371"/>
      <c r="I352" s="373"/>
      <c r="J352" s="129">
        <v>448</v>
      </c>
      <c r="K352" s="132">
        <f>K351*28</f>
        <v>336</v>
      </c>
      <c r="L352" s="361"/>
      <c r="M352" s="361"/>
      <c r="N352" s="361"/>
      <c r="O352" s="361"/>
      <c r="P352" s="361"/>
      <c r="Q352" s="366"/>
      <c r="R352" s="126">
        <f>J352-K352</f>
        <v>112</v>
      </c>
      <c r="S352" s="108">
        <f>SUM(S358:S358)</f>
        <v>0</v>
      </c>
      <c r="T352" s="16"/>
      <c r="U352" s="363"/>
      <c r="V352" s="77"/>
      <c r="W352" s="49"/>
    </row>
    <row r="353" spans="1:23" ht="25.5" customHeight="1">
      <c r="A353" s="368"/>
      <c r="B353" s="368"/>
      <c r="C353" s="368"/>
      <c r="D353" s="368"/>
      <c r="E353" s="368"/>
      <c r="F353" s="121"/>
      <c r="G353" s="125" t="s">
        <v>207</v>
      </c>
      <c r="H353" s="124" t="s">
        <v>200</v>
      </c>
      <c r="I353" s="25" t="s">
        <v>37</v>
      </c>
      <c r="J353" s="135"/>
      <c r="K353" s="35">
        <f t="shared" ref="K353:K358" si="279">L353+O353</f>
        <v>2.5</v>
      </c>
      <c r="L353" s="35">
        <f t="shared" ref="L353:L357" si="280">IF(I353="m",(M353+N353)*2.5*V353/28,(M353+N353)*2*V353/28)</f>
        <v>2.5</v>
      </c>
      <c r="M353" s="124"/>
      <c r="N353" s="124">
        <v>2</v>
      </c>
      <c r="O353" s="35">
        <f t="shared" ref="O353:O357" si="281">IF(I353="m",(P353+Q353)*1.5*V353/28,(P353+Q353)*1*V353/28)</f>
        <v>0</v>
      </c>
      <c r="P353" s="137"/>
      <c r="Q353" s="205"/>
      <c r="R353" s="126"/>
      <c r="S353" s="108"/>
      <c r="T353" s="16"/>
      <c r="U353" s="363"/>
      <c r="V353" s="77">
        <v>14</v>
      </c>
      <c r="W353" s="49"/>
    </row>
    <row r="354" spans="1:23">
      <c r="A354" s="368"/>
      <c r="B354" s="368"/>
      <c r="C354" s="368"/>
      <c r="D354" s="368"/>
      <c r="E354" s="368"/>
      <c r="F354" s="256"/>
      <c r="G354" s="125" t="s">
        <v>207</v>
      </c>
      <c r="H354" s="124" t="s">
        <v>200</v>
      </c>
      <c r="I354" s="25" t="s">
        <v>37</v>
      </c>
      <c r="J354" s="135"/>
      <c r="K354" s="35">
        <f t="shared" si="279"/>
        <v>1.5</v>
      </c>
      <c r="L354" s="35">
        <f t="shared" si="280"/>
        <v>0</v>
      </c>
      <c r="M354" s="124"/>
      <c r="N354" s="124"/>
      <c r="O354" s="35">
        <f t="shared" si="281"/>
        <v>1.5</v>
      </c>
      <c r="P354" s="282"/>
      <c r="Q354" s="205">
        <v>2</v>
      </c>
      <c r="R354" s="126"/>
      <c r="S354" s="108"/>
      <c r="T354" s="16"/>
      <c r="U354" s="363"/>
      <c r="V354" s="77">
        <v>14</v>
      </c>
      <c r="W354" s="49"/>
    </row>
    <row r="355" spans="1:23" ht="12.75" customHeight="1">
      <c r="A355" s="368"/>
      <c r="B355" s="368"/>
      <c r="C355" s="368"/>
      <c r="D355" s="368"/>
      <c r="E355" s="368"/>
      <c r="F355" s="120"/>
      <c r="G355" s="271" t="s">
        <v>206</v>
      </c>
      <c r="H355" s="124" t="s">
        <v>200</v>
      </c>
      <c r="I355" s="25" t="s">
        <v>37</v>
      </c>
      <c r="J355" s="124"/>
      <c r="K355" s="35">
        <f t="shared" si="279"/>
        <v>2.5</v>
      </c>
      <c r="L355" s="35">
        <f t="shared" si="280"/>
        <v>2.5</v>
      </c>
      <c r="M355" s="124"/>
      <c r="N355" s="124">
        <v>2</v>
      </c>
      <c r="O355" s="35">
        <f t="shared" si="281"/>
        <v>0</v>
      </c>
      <c r="P355" s="124"/>
      <c r="Q355" s="204"/>
      <c r="R355" s="126"/>
      <c r="S355" s="108"/>
      <c r="T355" s="16"/>
      <c r="U355" s="363"/>
      <c r="V355" s="77">
        <v>14</v>
      </c>
      <c r="W355" s="49"/>
    </row>
    <row r="356" spans="1:23" ht="12.75" customHeight="1">
      <c r="A356" s="368"/>
      <c r="B356" s="368"/>
      <c r="C356" s="368"/>
      <c r="D356" s="368"/>
      <c r="E356" s="368"/>
      <c r="F356" s="53"/>
      <c r="G356" s="271" t="s">
        <v>206</v>
      </c>
      <c r="H356" s="124" t="s">
        <v>200</v>
      </c>
      <c r="I356" s="25" t="s">
        <v>37</v>
      </c>
      <c r="J356" s="135"/>
      <c r="K356" s="35">
        <f t="shared" si="279"/>
        <v>1.5</v>
      </c>
      <c r="L356" s="35">
        <f t="shared" si="280"/>
        <v>0</v>
      </c>
      <c r="M356" s="124"/>
      <c r="N356" s="122"/>
      <c r="O356" s="35">
        <f t="shared" si="281"/>
        <v>1.5</v>
      </c>
      <c r="P356" s="137"/>
      <c r="Q356" s="204">
        <v>2</v>
      </c>
      <c r="R356" s="126"/>
      <c r="S356" s="108"/>
      <c r="T356" s="16"/>
      <c r="U356" s="363"/>
      <c r="V356" s="77">
        <v>14</v>
      </c>
      <c r="W356" s="49"/>
    </row>
    <row r="357" spans="1:23" ht="12.75" customHeight="1">
      <c r="A357" s="368"/>
      <c r="B357" s="368"/>
      <c r="C357" s="368"/>
      <c r="D357" s="368"/>
      <c r="E357" s="368"/>
      <c r="F357" s="120"/>
      <c r="G357" s="109" t="s">
        <v>276</v>
      </c>
      <c r="H357" s="124" t="s">
        <v>200</v>
      </c>
      <c r="I357" s="25" t="s">
        <v>37</v>
      </c>
      <c r="J357" s="124"/>
      <c r="K357" s="35">
        <f t="shared" si="279"/>
        <v>2.5</v>
      </c>
      <c r="L357" s="35">
        <f t="shared" si="280"/>
        <v>2.5</v>
      </c>
      <c r="M357" s="124"/>
      <c r="N357" s="124">
        <v>2</v>
      </c>
      <c r="O357" s="35">
        <f t="shared" si="281"/>
        <v>0</v>
      </c>
      <c r="P357" s="124"/>
      <c r="Q357" s="204"/>
      <c r="R357" s="126"/>
      <c r="S357" s="248"/>
      <c r="T357" s="16"/>
      <c r="U357" s="363"/>
      <c r="V357" s="77">
        <v>14</v>
      </c>
      <c r="W357" s="49"/>
    </row>
    <row r="358" spans="1:23" ht="13.5" customHeight="1" thickBot="1">
      <c r="A358" s="380"/>
      <c r="B358" s="380"/>
      <c r="C358" s="380"/>
      <c r="D358" s="380"/>
      <c r="E358" s="380"/>
      <c r="F358" s="136"/>
      <c r="G358" s="259" t="s">
        <v>276</v>
      </c>
      <c r="H358" s="206" t="s">
        <v>200</v>
      </c>
      <c r="I358" s="110" t="s">
        <v>37</v>
      </c>
      <c r="J358" s="206"/>
      <c r="K358" s="111">
        <f t="shared" si="279"/>
        <v>1.5</v>
      </c>
      <c r="L358" s="111">
        <f>IF(I358="m",(M358+N358)*2.5*V358/28,(M358+N358)*2*V358/28)</f>
        <v>0</v>
      </c>
      <c r="M358" s="206"/>
      <c r="N358" s="260"/>
      <c r="O358" s="111">
        <f>IF(I358="m",(P358+Q358)*1.5*V358/28,(P358+Q358)*1*V358/28)</f>
        <v>1.5</v>
      </c>
      <c r="P358" s="272"/>
      <c r="Q358" s="272">
        <v>2</v>
      </c>
      <c r="R358" s="110"/>
      <c r="S358" s="110"/>
      <c r="T358" s="110"/>
      <c r="U358" s="378"/>
      <c r="V358" s="210">
        <v>14</v>
      </c>
      <c r="W358" s="107"/>
    </row>
  </sheetData>
  <autoFilter ref="A10:AF35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539">
    <mergeCell ref="AD12:AF12"/>
    <mergeCell ref="I43:I44"/>
    <mergeCell ref="H43:H44"/>
    <mergeCell ref="G43:G44"/>
    <mergeCell ref="E43:E49"/>
    <mergeCell ref="D43:D49"/>
    <mergeCell ref="C43:C49"/>
    <mergeCell ref="F43:F49"/>
    <mergeCell ref="F251:F252"/>
    <mergeCell ref="L251:L252"/>
    <mergeCell ref="G166:G167"/>
    <mergeCell ref="G214:G215"/>
    <mergeCell ref="G191:G192"/>
    <mergeCell ref="H191:H192"/>
    <mergeCell ref="O166:O167"/>
    <mergeCell ref="Q61:Q62"/>
    <mergeCell ref="F70:F71"/>
    <mergeCell ref="L61:L62"/>
    <mergeCell ref="M61:M62"/>
    <mergeCell ref="N61:N62"/>
    <mergeCell ref="O61:O62"/>
    <mergeCell ref="P61:P62"/>
    <mergeCell ref="Q166:Q167"/>
    <mergeCell ref="L166:L167"/>
    <mergeCell ref="U351:U358"/>
    <mergeCell ref="G351:G352"/>
    <mergeCell ref="H351:H352"/>
    <mergeCell ref="I351:I352"/>
    <mergeCell ref="L351:L352"/>
    <mergeCell ref="M351:M352"/>
    <mergeCell ref="N351:N352"/>
    <mergeCell ref="A344:A350"/>
    <mergeCell ref="B344:B350"/>
    <mergeCell ref="C344:C350"/>
    <mergeCell ref="O351:O352"/>
    <mergeCell ref="P351:P352"/>
    <mergeCell ref="Q351:Q352"/>
    <mergeCell ref="A351:A358"/>
    <mergeCell ref="B351:B358"/>
    <mergeCell ref="C351:C358"/>
    <mergeCell ref="D351:D358"/>
    <mergeCell ref="E351:E358"/>
    <mergeCell ref="F351:F352"/>
    <mergeCell ref="Q344:Q345"/>
    <mergeCell ref="U344:U350"/>
    <mergeCell ref="G344:G345"/>
    <mergeCell ref="H344:H345"/>
    <mergeCell ref="I344:I345"/>
    <mergeCell ref="L344:L345"/>
    <mergeCell ref="H332:H333"/>
    <mergeCell ref="I332:I333"/>
    <mergeCell ref="M332:M333"/>
    <mergeCell ref="N332:N333"/>
    <mergeCell ref="O332:O333"/>
    <mergeCell ref="M344:M345"/>
    <mergeCell ref="N344:N345"/>
    <mergeCell ref="P332:P333"/>
    <mergeCell ref="O344:O345"/>
    <mergeCell ref="P344:P345"/>
    <mergeCell ref="Q332:Q333"/>
    <mergeCell ref="U332:U343"/>
    <mergeCell ref="L320:L321"/>
    <mergeCell ref="D332:D343"/>
    <mergeCell ref="E332:E343"/>
    <mergeCell ref="G332:G333"/>
    <mergeCell ref="F332:F333"/>
    <mergeCell ref="L332:L333"/>
    <mergeCell ref="A332:A343"/>
    <mergeCell ref="G320:G321"/>
    <mergeCell ref="H320:H321"/>
    <mergeCell ref="I320:I321"/>
    <mergeCell ref="M320:M321"/>
    <mergeCell ref="N320:N321"/>
    <mergeCell ref="O320:O321"/>
    <mergeCell ref="P320:P321"/>
    <mergeCell ref="Q320:Q321"/>
    <mergeCell ref="U320:U328"/>
    <mergeCell ref="D344:D350"/>
    <mergeCell ref="E344:E350"/>
    <mergeCell ref="F344:F345"/>
    <mergeCell ref="B332:B343"/>
    <mergeCell ref="C332:C343"/>
    <mergeCell ref="A320:A328"/>
    <mergeCell ref="B320:B328"/>
    <mergeCell ref="C320:C328"/>
    <mergeCell ref="D320:D328"/>
    <mergeCell ref="E320:E328"/>
    <mergeCell ref="F320:F321"/>
    <mergeCell ref="O306:O307"/>
    <mergeCell ref="P306:P307"/>
    <mergeCell ref="Q306:Q307"/>
    <mergeCell ref="U293:U305"/>
    <mergeCell ref="O293:O294"/>
    <mergeCell ref="P293:P294"/>
    <mergeCell ref="Q293:Q294"/>
    <mergeCell ref="U306:U319"/>
    <mergeCell ref="L306:L307"/>
    <mergeCell ref="M293:M294"/>
    <mergeCell ref="N293:N294"/>
    <mergeCell ref="A306:A319"/>
    <mergeCell ref="B306:B319"/>
    <mergeCell ref="C306:C319"/>
    <mergeCell ref="D306:D319"/>
    <mergeCell ref="E306:E319"/>
    <mergeCell ref="F306:F319"/>
    <mergeCell ref="M306:M307"/>
    <mergeCell ref="N306:N307"/>
    <mergeCell ref="H293:H294"/>
    <mergeCell ref="I293:I294"/>
    <mergeCell ref="G306:G307"/>
    <mergeCell ref="H306:H307"/>
    <mergeCell ref="I306:I307"/>
    <mergeCell ref="L293:L294"/>
    <mergeCell ref="A293:A305"/>
    <mergeCell ref="B293:B305"/>
    <mergeCell ref="C293:C305"/>
    <mergeCell ref="D293:D305"/>
    <mergeCell ref="E293:E305"/>
    <mergeCell ref="G293:G294"/>
    <mergeCell ref="F293:F305"/>
    <mergeCell ref="L274:L275"/>
    <mergeCell ref="A260:A273"/>
    <mergeCell ref="B260:B273"/>
    <mergeCell ref="C260:C273"/>
    <mergeCell ref="D260:D273"/>
    <mergeCell ref="G260:G261"/>
    <mergeCell ref="A274:A292"/>
    <mergeCell ref="B274:B292"/>
    <mergeCell ref="C274:C292"/>
    <mergeCell ref="D274:D292"/>
    <mergeCell ref="E274:E292"/>
    <mergeCell ref="F260:F261"/>
    <mergeCell ref="G274:G275"/>
    <mergeCell ref="F274:F275"/>
    <mergeCell ref="E260:E273"/>
    <mergeCell ref="F223:F231"/>
    <mergeCell ref="G223:G224"/>
    <mergeCell ref="H223:H224"/>
    <mergeCell ref="I223:I224"/>
    <mergeCell ref="A251:A259"/>
    <mergeCell ref="B251:B259"/>
    <mergeCell ref="C251:C259"/>
    <mergeCell ref="D251:D259"/>
    <mergeCell ref="E251:E259"/>
    <mergeCell ref="G251:G252"/>
    <mergeCell ref="A242:A250"/>
    <mergeCell ref="B242:B250"/>
    <mergeCell ref="C242:C250"/>
    <mergeCell ref="D242:D250"/>
    <mergeCell ref="E242:E250"/>
    <mergeCell ref="F242:F250"/>
    <mergeCell ref="G242:G243"/>
    <mergeCell ref="H242:H243"/>
    <mergeCell ref="I242:I243"/>
    <mergeCell ref="A232:A241"/>
    <mergeCell ref="B232:B241"/>
    <mergeCell ref="C232:C241"/>
    <mergeCell ref="A204:A213"/>
    <mergeCell ref="B204:B213"/>
    <mergeCell ref="C204:C213"/>
    <mergeCell ref="D204:D213"/>
    <mergeCell ref="E204:E213"/>
    <mergeCell ref="A223:A231"/>
    <mergeCell ref="B223:B231"/>
    <mergeCell ref="C223:C231"/>
    <mergeCell ref="D223:D231"/>
    <mergeCell ref="E223:E231"/>
    <mergeCell ref="F61:F69"/>
    <mergeCell ref="I61:I62"/>
    <mergeCell ref="A166:A176"/>
    <mergeCell ref="B166:B176"/>
    <mergeCell ref="C166:C176"/>
    <mergeCell ref="D166:D176"/>
    <mergeCell ref="E166:E176"/>
    <mergeCell ref="A114:A122"/>
    <mergeCell ref="B114:B122"/>
    <mergeCell ref="C114:C122"/>
    <mergeCell ref="D114:D122"/>
    <mergeCell ref="E114:E122"/>
    <mergeCell ref="F114:F122"/>
    <mergeCell ref="A132:A141"/>
    <mergeCell ref="B132:B141"/>
    <mergeCell ref="C132:C141"/>
    <mergeCell ref="D132:D141"/>
    <mergeCell ref="H274:H275"/>
    <mergeCell ref="I274:I275"/>
    <mergeCell ref="H166:H167"/>
    <mergeCell ref="I166:I167"/>
    <mergeCell ref="N166:N167"/>
    <mergeCell ref="H214:H215"/>
    <mergeCell ref="O204:O205"/>
    <mergeCell ref="A177:A190"/>
    <mergeCell ref="B177:B190"/>
    <mergeCell ref="C177:C190"/>
    <mergeCell ref="D177:D190"/>
    <mergeCell ref="E177:E190"/>
    <mergeCell ref="F177:F190"/>
    <mergeCell ref="G177:G178"/>
    <mergeCell ref="A214:A222"/>
    <mergeCell ref="B214:B222"/>
    <mergeCell ref="C214:C222"/>
    <mergeCell ref="D214:D222"/>
    <mergeCell ref="E214:E222"/>
    <mergeCell ref="A191:A203"/>
    <mergeCell ref="B191:B203"/>
    <mergeCell ref="C191:C203"/>
    <mergeCell ref="D191:D203"/>
    <mergeCell ref="E191:E203"/>
    <mergeCell ref="Q274:Q275"/>
    <mergeCell ref="O214:O215"/>
    <mergeCell ref="P214:P215"/>
    <mergeCell ref="Q214:Q215"/>
    <mergeCell ref="I232:I233"/>
    <mergeCell ref="L223:L224"/>
    <mergeCell ref="M223:M224"/>
    <mergeCell ref="N223:N224"/>
    <mergeCell ref="O223:O224"/>
    <mergeCell ref="P223:P224"/>
    <mergeCell ref="P274:P275"/>
    <mergeCell ref="P251:P252"/>
    <mergeCell ref="I214:I215"/>
    <mergeCell ref="L214:L215"/>
    <mergeCell ref="M274:M275"/>
    <mergeCell ref="N274:N275"/>
    <mergeCell ref="O274:O275"/>
    <mergeCell ref="O251:O252"/>
    <mergeCell ref="Q251:Q252"/>
    <mergeCell ref="N232:N233"/>
    <mergeCell ref="O232:O233"/>
    <mergeCell ref="P232:P233"/>
    <mergeCell ref="Q232:Q233"/>
    <mergeCell ref="L260:L261"/>
    <mergeCell ref="F214:F222"/>
    <mergeCell ref="I204:I205"/>
    <mergeCell ref="L204:L205"/>
    <mergeCell ref="M204:M205"/>
    <mergeCell ref="N204:N205"/>
    <mergeCell ref="F204:F213"/>
    <mergeCell ref="G232:G233"/>
    <mergeCell ref="H260:H261"/>
    <mergeCell ref="I260:I261"/>
    <mergeCell ref="I251:I252"/>
    <mergeCell ref="H204:H205"/>
    <mergeCell ref="H232:H233"/>
    <mergeCell ref="F232:F241"/>
    <mergeCell ref="M251:M252"/>
    <mergeCell ref="N251:N252"/>
    <mergeCell ref="H251:H252"/>
    <mergeCell ref="G204:G205"/>
    <mergeCell ref="M214:M215"/>
    <mergeCell ref="N214:N215"/>
    <mergeCell ref="L242:L243"/>
    <mergeCell ref="M242:M243"/>
    <mergeCell ref="N242:N243"/>
    <mergeCell ref="L232:L233"/>
    <mergeCell ref="M232:M233"/>
    <mergeCell ref="D232:D241"/>
    <mergeCell ref="E232:E241"/>
    <mergeCell ref="Q25:Q26"/>
    <mergeCell ref="U25:U29"/>
    <mergeCell ref="G25:G26"/>
    <mergeCell ref="H25:H26"/>
    <mergeCell ref="I25:I26"/>
    <mergeCell ref="L25:L26"/>
    <mergeCell ref="M25:M26"/>
    <mergeCell ref="N25:N26"/>
    <mergeCell ref="D151:D165"/>
    <mergeCell ref="E151:E165"/>
    <mergeCell ref="F151:F165"/>
    <mergeCell ref="I151:I152"/>
    <mergeCell ref="H151:H152"/>
    <mergeCell ref="F25:F29"/>
    <mergeCell ref="H36:H37"/>
    <mergeCell ref="I36:I37"/>
    <mergeCell ref="L36:L37"/>
    <mergeCell ref="L151:L152"/>
    <mergeCell ref="M151:M152"/>
    <mergeCell ref="O43:O44"/>
    <mergeCell ref="P43:P44"/>
    <mergeCell ref="Q43:Q44"/>
    <mergeCell ref="W10:W13"/>
    <mergeCell ref="L12:N12"/>
    <mergeCell ref="F15:F24"/>
    <mergeCell ref="L15:L16"/>
    <mergeCell ref="M15:M16"/>
    <mergeCell ref="N15:N16"/>
    <mergeCell ref="O15:O16"/>
    <mergeCell ref="V10:V13"/>
    <mergeCell ref="F30:F35"/>
    <mergeCell ref="G30:G31"/>
    <mergeCell ref="H30:H31"/>
    <mergeCell ref="I30:I31"/>
    <mergeCell ref="L30:L31"/>
    <mergeCell ref="M30:M31"/>
    <mergeCell ref="N30:N31"/>
    <mergeCell ref="O30:O31"/>
    <mergeCell ref="P30:P31"/>
    <mergeCell ref="O25:O26"/>
    <mergeCell ref="P25:P26"/>
    <mergeCell ref="Q15:Q16"/>
    <mergeCell ref="U15:U24"/>
    <mergeCell ref="T11:T13"/>
    <mergeCell ref="Q30:Q31"/>
    <mergeCell ref="U30:U35"/>
    <mergeCell ref="A151:A165"/>
    <mergeCell ref="C25:C29"/>
    <mergeCell ref="D25:D29"/>
    <mergeCell ref="E25:E29"/>
    <mergeCell ref="A36:A42"/>
    <mergeCell ref="B36:B42"/>
    <mergeCell ref="C36:C42"/>
    <mergeCell ref="D36:D42"/>
    <mergeCell ref="E36:E42"/>
    <mergeCell ref="A30:A35"/>
    <mergeCell ref="B30:B35"/>
    <mergeCell ref="C30:C35"/>
    <mergeCell ref="D30:D35"/>
    <mergeCell ref="E30:E35"/>
    <mergeCell ref="B151:B165"/>
    <mergeCell ref="C151:C165"/>
    <mergeCell ref="A123:A131"/>
    <mergeCell ref="B123:B131"/>
    <mergeCell ref="C123:C131"/>
    <mergeCell ref="D123:D131"/>
    <mergeCell ref="B15:B24"/>
    <mergeCell ref="A15:A24"/>
    <mergeCell ref="I15:I16"/>
    <mergeCell ref="H15:H16"/>
    <mergeCell ref="G15:G16"/>
    <mergeCell ref="P15:P16"/>
    <mergeCell ref="A25:A29"/>
    <mergeCell ref="B25:B29"/>
    <mergeCell ref="B43:B49"/>
    <mergeCell ref="A43:A49"/>
    <mergeCell ref="C15:C24"/>
    <mergeCell ref="D15:D24"/>
    <mergeCell ref="F36:F42"/>
    <mergeCell ref="M36:M37"/>
    <mergeCell ref="N36:N37"/>
    <mergeCell ref="S12:S13"/>
    <mergeCell ref="R12:R13"/>
    <mergeCell ref="D10:D13"/>
    <mergeCell ref="R11:S11"/>
    <mergeCell ref="E15:E24"/>
    <mergeCell ref="L11:Q11"/>
    <mergeCell ref="A1:G1"/>
    <mergeCell ref="J10:J13"/>
    <mergeCell ref="K11:K13"/>
    <mergeCell ref="C10:C13"/>
    <mergeCell ref="G10:G13"/>
    <mergeCell ref="A3:G3"/>
    <mergeCell ref="A4:G4"/>
    <mergeCell ref="A6:U6"/>
    <mergeCell ref="F10:F13"/>
    <mergeCell ref="K10:Q10"/>
    <mergeCell ref="I11:I12"/>
    <mergeCell ref="A5:U5"/>
    <mergeCell ref="O12:Q12"/>
    <mergeCell ref="H10:H13"/>
    <mergeCell ref="E10:E13"/>
    <mergeCell ref="U10:U13"/>
    <mergeCell ref="A2:G2"/>
    <mergeCell ref="A10:A13"/>
    <mergeCell ref="B10:B13"/>
    <mergeCell ref="O36:O37"/>
    <mergeCell ref="P36:P37"/>
    <mergeCell ref="U36:U42"/>
    <mergeCell ref="A50:A60"/>
    <mergeCell ref="B50:B60"/>
    <mergeCell ref="C50:C60"/>
    <mergeCell ref="D50:D60"/>
    <mergeCell ref="E50:E60"/>
    <mergeCell ref="F50:F60"/>
    <mergeCell ref="G50:G51"/>
    <mergeCell ref="H50:H51"/>
    <mergeCell ref="I50:I51"/>
    <mergeCell ref="L50:L51"/>
    <mergeCell ref="M50:M51"/>
    <mergeCell ref="N50:N51"/>
    <mergeCell ref="O50:O51"/>
    <mergeCell ref="Q50:Q51"/>
    <mergeCell ref="U50:U60"/>
    <mergeCell ref="L43:L44"/>
    <mergeCell ref="M43:M44"/>
    <mergeCell ref="N43:N44"/>
    <mergeCell ref="U43:U49"/>
    <mergeCell ref="Q36:Q37"/>
    <mergeCell ref="G36:G37"/>
    <mergeCell ref="P50:P51"/>
    <mergeCell ref="P191:P192"/>
    <mergeCell ref="G61:G62"/>
    <mergeCell ref="H61:H62"/>
    <mergeCell ref="H70:H71"/>
    <mergeCell ref="G151:G152"/>
    <mergeCell ref="N70:N71"/>
    <mergeCell ref="O70:O71"/>
    <mergeCell ref="P70:P71"/>
    <mergeCell ref="I177:I178"/>
    <mergeCell ref="L177:L178"/>
    <mergeCell ref="M177:M178"/>
    <mergeCell ref="N177:N178"/>
    <mergeCell ref="G70:G71"/>
    <mergeCell ref="I70:I71"/>
    <mergeCell ref="L70:L71"/>
    <mergeCell ref="O142:O143"/>
    <mergeCell ref="H177:H178"/>
    <mergeCell ref="M166:M167"/>
    <mergeCell ref="F191:F203"/>
    <mergeCell ref="A61:A69"/>
    <mergeCell ref="B61:B69"/>
    <mergeCell ref="C61:C69"/>
    <mergeCell ref="D61:D69"/>
    <mergeCell ref="E61:E69"/>
    <mergeCell ref="A70:A88"/>
    <mergeCell ref="B70:B88"/>
    <mergeCell ref="C70:C88"/>
    <mergeCell ref="D70:D88"/>
    <mergeCell ref="E70:E88"/>
    <mergeCell ref="A142:A150"/>
    <mergeCell ref="B142:B150"/>
    <mergeCell ref="C142:C150"/>
    <mergeCell ref="D142:D150"/>
    <mergeCell ref="E142:E150"/>
    <mergeCell ref="F142:F150"/>
    <mergeCell ref="E89:E100"/>
    <mergeCell ref="F89:F90"/>
    <mergeCell ref="F101:F102"/>
    <mergeCell ref="A101:A113"/>
    <mergeCell ref="B101:B113"/>
    <mergeCell ref="C101:C113"/>
    <mergeCell ref="D101:D113"/>
    <mergeCell ref="P204:P205"/>
    <mergeCell ref="O260:O261"/>
    <mergeCell ref="P260:P261"/>
    <mergeCell ref="Q260:Q261"/>
    <mergeCell ref="U260:U273"/>
    <mergeCell ref="I191:I192"/>
    <mergeCell ref="L191:L192"/>
    <mergeCell ref="M191:M192"/>
    <mergeCell ref="N191:N192"/>
    <mergeCell ref="O191:O192"/>
    <mergeCell ref="M260:M261"/>
    <mergeCell ref="N260:N261"/>
    <mergeCell ref="Q204:Q205"/>
    <mergeCell ref="U204:U213"/>
    <mergeCell ref="Q191:Q192"/>
    <mergeCell ref="U223:U231"/>
    <mergeCell ref="Q223:Q224"/>
    <mergeCell ref="U214:U222"/>
    <mergeCell ref="O242:O243"/>
    <mergeCell ref="U242:U250"/>
    <mergeCell ref="P242:P243"/>
    <mergeCell ref="Q242:Q243"/>
    <mergeCell ref="U232:U241"/>
    <mergeCell ref="U251:U259"/>
    <mergeCell ref="Q177:Q178"/>
    <mergeCell ref="N151:N152"/>
    <mergeCell ref="U151:U165"/>
    <mergeCell ref="O151:O152"/>
    <mergeCell ref="P151:P152"/>
    <mergeCell ref="Q151:Q152"/>
    <mergeCell ref="U166:U176"/>
    <mergeCell ref="P166:P167"/>
    <mergeCell ref="U191:U203"/>
    <mergeCell ref="U177:U190"/>
    <mergeCell ref="O177:O178"/>
    <mergeCell ref="P177:P178"/>
    <mergeCell ref="E132:E141"/>
    <mergeCell ref="F132:F141"/>
    <mergeCell ref="E123:E131"/>
    <mergeCell ref="F123:F131"/>
    <mergeCell ref="F166:F176"/>
    <mergeCell ref="G114:G115"/>
    <mergeCell ref="H114:H115"/>
    <mergeCell ref="P114:P115"/>
    <mergeCell ref="O132:O133"/>
    <mergeCell ref="P132:P133"/>
    <mergeCell ref="G132:G133"/>
    <mergeCell ref="G123:G124"/>
    <mergeCell ref="G142:G143"/>
    <mergeCell ref="H142:H143"/>
    <mergeCell ref="I142:I143"/>
    <mergeCell ref="L142:L143"/>
    <mergeCell ref="M142:M143"/>
    <mergeCell ref="N142:N143"/>
    <mergeCell ref="N114:N115"/>
    <mergeCell ref="O114:O115"/>
    <mergeCell ref="I123:I124"/>
    <mergeCell ref="L123:L124"/>
    <mergeCell ref="M123:M124"/>
    <mergeCell ref="N123:N124"/>
    <mergeCell ref="H132:H133"/>
    <mergeCell ref="I132:I133"/>
    <mergeCell ref="O123:O124"/>
    <mergeCell ref="U89:U100"/>
    <mergeCell ref="O101:O102"/>
    <mergeCell ref="P101:P102"/>
    <mergeCell ref="P123:P124"/>
    <mergeCell ref="Q123:Q124"/>
    <mergeCell ref="U123:U131"/>
    <mergeCell ref="L132:L133"/>
    <mergeCell ref="M132:M133"/>
    <mergeCell ref="N132:N133"/>
    <mergeCell ref="M89:M90"/>
    <mergeCell ref="M70:M71"/>
    <mergeCell ref="I114:I115"/>
    <mergeCell ref="L114:L115"/>
    <mergeCell ref="M114:M115"/>
    <mergeCell ref="H123:H124"/>
    <mergeCell ref="Q70:Q71"/>
    <mergeCell ref="U70:U88"/>
    <mergeCell ref="Q114:Q115"/>
    <mergeCell ref="U114:U122"/>
    <mergeCell ref="A89:A100"/>
    <mergeCell ref="B89:B100"/>
    <mergeCell ref="C89:C100"/>
    <mergeCell ref="D89:D100"/>
    <mergeCell ref="E101:E113"/>
    <mergeCell ref="G101:G102"/>
    <mergeCell ref="H101:H102"/>
    <mergeCell ref="I101:I102"/>
    <mergeCell ref="L101:L102"/>
    <mergeCell ref="G89:G90"/>
    <mergeCell ref="H89:H90"/>
    <mergeCell ref="I89:I90"/>
    <mergeCell ref="L89:L90"/>
    <mergeCell ref="Q101:Q102"/>
    <mergeCell ref="U101:U113"/>
    <mergeCell ref="Q89:Q90"/>
    <mergeCell ref="P142:P143"/>
    <mergeCell ref="Q142:Q143"/>
    <mergeCell ref="U142:U150"/>
    <mergeCell ref="M101:M102"/>
    <mergeCell ref="N101:N102"/>
    <mergeCell ref="O89:O90"/>
    <mergeCell ref="P89:P90"/>
    <mergeCell ref="N89:N90"/>
    <mergeCell ref="Q132:Q133"/>
    <mergeCell ref="U132:U141"/>
  </mergeCells>
  <phoneticPr fontId="2" type="noConversion"/>
  <pageMargins left="0.31496062992125984" right="0.31496062992125984" top="0.59055118110236227" bottom="0.59055118110236227" header="0.31496062992125984" footer="0.31496062992125984"/>
  <pageSetup paperSize="9" scale="57" fitToHeight="0" orientation="landscape" r:id="rId1"/>
  <headerFooter>
    <oddFooter>&amp;L&amp;"Times New Roman,Regular"Rector:Prof.dr.ing. Dávid László&amp;C&amp;"Times New Roman,Regular"Verificat, decan:Șef.lucr.dr.ing. Kelemen András&amp;R&amp;"Times New Roman,Regular"Întocmit, director departament:Șef.lucr.dr.ing. Domokos József</oddFooter>
  </headerFooter>
  <rowBreaks count="9" manualBreakCount="9">
    <brk id="49" max="31" man="1"/>
    <brk id="88" max="31" man="1"/>
    <brk id="113" max="31" man="1"/>
    <brk id="165" max="31" man="1"/>
    <brk id="213" max="31" man="1"/>
    <brk id="259" max="31" man="1"/>
    <brk id="292" max="31" man="1"/>
    <brk id="331" max="31" man="1"/>
    <brk id="350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zoomScale="115" zoomScaleNormal="115" workbookViewId="0">
      <selection activeCell="H12" sqref="H12"/>
    </sheetView>
  </sheetViews>
  <sheetFormatPr defaultRowHeight="15"/>
  <cols>
    <col min="1" max="1" width="4.140625" customWidth="1"/>
    <col min="2" max="2" width="8.42578125" customWidth="1"/>
    <col min="3" max="3" width="13.85546875" customWidth="1"/>
    <col min="4" max="4" width="6.28515625" hidden="1" customWidth="1"/>
    <col min="5" max="5" width="10.28515625" hidden="1" customWidth="1"/>
    <col min="6" max="6" width="7.7109375" hidden="1" customWidth="1"/>
    <col min="7" max="7" width="9" hidden="1" customWidth="1"/>
    <col min="8" max="8" width="38.42578125" customWidth="1"/>
    <col min="9" max="9" width="8.7109375" customWidth="1"/>
    <col min="10" max="10" width="7.7109375" customWidth="1"/>
    <col min="11" max="17" width="6.140625" customWidth="1"/>
    <col min="18" max="18" width="9.140625" style="100"/>
  </cols>
  <sheetData>
    <row r="1" spans="1:18">
      <c r="A1" s="403" t="s">
        <v>21</v>
      </c>
      <c r="B1" s="403" t="s">
        <v>0</v>
      </c>
      <c r="C1" s="403" t="s">
        <v>1</v>
      </c>
      <c r="D1" s="411" t="s">
        <v>22</v>
      </c>
      <c r="E1" s="403" t="s">
        <v>2</v>
      </c>
      <c r="F1" s="411" t="s">
        <v>20</v>
      </c>
      <c r="G1" s="403" t="s">
        <v>3</v>
      </c>
      <c r="H1" s="405" t="s">
        <v>4</v>
      </c>
      <c r="I1" s="411" t="s">
        <v>30</v>
      </c>
      <c r="J1" s="403" t="s">
        <v>5</v>
      </c>
      <c r="K1" s="408" t="s">
        <v>28</v>
      </c>
      <c r="L1" s="409"/>
      <c r="M1" s="409"/>
      <c r="N1" s="409"/>
      <c r="O1" s="409"/>
      <c r="P1" s="409"/>
      <c r="Q1" s="409"/>
    </row>
    <row r="2" spans="1:18">
      <c r="A2" s="403"/>
      <c r="B2" s="403"/>
      <c r="C2" s="403"/>
      <c r="D2" s="412"/>
      <c r="E2" s="403"/>
      <c r="F2" s="412"/>
      <c r="G2" s="403"/>
      <c r="H2" s="405"/>
      <c r="I2" s="412"/>
      <c r="J2" s="403"/>
      <c r="K2" s="404" t="s">
        <v>27</v>
      </c>
      <c r="L2" s="403" t="s">
        <v>6</v>
      </c>
      <c r="M2" s="403"/>
      <c r="N2" s="403"/>
      <c r="O2" s="403"/>
      <c r="P2" s="403"/>
      <c r="Q2" s="403"/>
    </row>
    <row r="3" spans="1:18">
      <c r="A3" s="403"/>
      <c r="B3" s="403"/>
      <c r="C3" s="403"/>
      <c r="D3" s="412"/>
      <c r="E3" s="403"/>
      <c r="F3" s="412"/>
      <c r="G3" s="403"/>
      <c r="H3" s="405"/>
      <c r="I3" s="412"/>
      <c r="J3" s="403"/>
      <c r="K3" s="404"/>
      <c r="L3" s="403" t="s">
        <v>7</v>
      </c>
      <c r="M3" s="403"/>
      <c r="N3" s="403"/>
      <c r="O3" s="403" t="s">
        <v>29</v>
      </c>
      <c r="P3" s="403"/>
      <c r="Q3" s="403"/>
    </row>
    <row r="4" spans="1:18" ht="24">
      <c r="A4" s="403"/>
      <c r="B4" s="403"/>
      <c r="C4" s="403"/>
      <c r="D4" s="413"/>
      <c r="E4" s="403"/>
      <c r="F4" s="413"/>
      <c r="G4" s="403"/>
      <c r="H4" s="405"/>
      <c r="I4" s="413"/>
      <c r="J4" s="403"/>
      <c r="K4" s="404"/>
      <c r="L4" s="5" t="s">
        <v>8</v>
      </c>
      <c r="M4" s="38" t="s">
        <v>9</v>
      </c>
      <c r="N4" s="8" t="s">
        <v>10</v>
      </c>
      <c r="O4" s="6" t="s">
        <v>8</v>
      </c>
      <c r="P4" s="38" t="s">
        <v>9</v>
      </c>
      <c r="Q4" s="8" t="s">
        <v>10</v>
      </c>
    </row>
    <row r="5" spans="1:18">
      <c r="A5" s="93"/>
      <c r="B5" s="93">
        <v>1</v>
      </c>
      <c r="C5" s="94">
        <v>2</v>
      </c>
      <c r="D5" s="94"/>
      <c r="E5" s="95">
        <v>4</v>
      </c>
      <c r="F5" s="95"/>
      <c r="G5" s="94">
        <v>6</v>
      </c>
      <c r="H5" s="36">
        <v>7</v>
      </c>
      <c r="I5" s="93"/>
      <c r="J5" s="93">
        <v>9</v>
      </c>
      <c r="K5" s="96">
        <v>10</v>
      </c>
      <c r="L5" s="94">
        <v>11</v>
      </c>
      <c r="M5" s="97" t="s">
        <v>11</v>
      </c>
      <c r="N5" s="93" t="s">
        <v>12</v>
      </c>
      <c r="O5" s="96">
        <v>12</v>
      </c>
      <c r="P5" s="97" t="s">
        <v>13</v>
      </c>
      <c r="Q5" s="93" t="s">
        <v>14</v>
      </c>
    </row>
    <row r="6" spans="1:18">
      <c r="A6" s="21"/>
      <c r="B6" s="21"/>
      <c r="C6" s="14"/>
      <c r="D6" s="18"/>
      <c r="E6" s="17"/>
      <c r="F6" s="18"/>
      <c r="G6" s="18"/>
      <c r="H6" s="19"/>
      <c r="I6" s="14"/>
      <c r="J6" s="14"/>
      <c r="K6" s="9"/>
      <c r="L6" s="9"/>
      <c r="M6" s="28"/>
      <c r="N6" s="14"/>
      <c r="O6" s="9"/>
      <c r="P6" s="28"/>
      <c r="Q6" s="14"/>
      <c r="R6" s="101"/>
    </row>
    <row r="7" spans="1:18">
      <c r="A7" s="21"/>
      <c r="B7" s="21"/>
      <c r="C7" s="14"/>
      <c r="D7" s="14"/>
      <c r="E7" s="14"/>
      <c r="F7" s="14"/>
      <c r="G7" s="14"/>
      <c r="H7" s="67"/>
      <c r="I7" s="28"/>
      <c r="J7" s="14"/>
      <c r="K7" s="27"/>
      <c r="L7" s="27"/>
      <c r="M7" s="29"/>
      <c r="N7" s="26"/>
      <c r="O7" s="27"/>
      <c r="P7" s="29"/>
      <c r="Q7" s="26"/>
    </row>
    <row r="8" spans="1:18">
      <c r="A8" s="76"/>
      <c r="B8" s="76"/>
      <c r="C8" s="16"/>
      <c r="D8" s="16"/>
      <c r="E8" s="17"/>
      <c r="F8" s="17"/>
      <c r="G8" s="15"/>
      <c r="H8" s="51"/>
      <c r="I8" s="25"/>
      <c r="J8" s="26"/>
      <c r="K8" s="27"/>
      <c r="L8" s="27"/>
      <c r="M8" s="16"/>
      <c r="N8" s="16"/>
      <c r="O8" s="27"/>
      <c r="P8" s="16"/>
      <c r="Q8" s="16"/>
      <c r="R8" s="84"/>
    </row>
    <row r="9" spans="1:18">
      <c r="A9" s="21"/>
      <c r="B9" s="21"/>
      <c r="C9" s="14"/>
      <c r="D9" s="18"/>
      <c r="E9" s="17"/>
      <c r="F9" s="18"/>
      <c r="G9" s="18"/>
      <c r="H9" s="19"/>
      <c r="I9" s="14"/>
      <c r="J9" s="14"/>
      <c r="K9" s="9"/>
      <c r="L9" s="9"/>
      <c r="M9" s="28"/>
      <c r="N9" s="14"/>
      <c r="O9" s="9"/>
      <c r="P9" s="28"/>
      <c r="Q9" s="14"/>
    </row>
    <row r="10" spans="1:18">
      <c r="A10" s="21"/>
      <c r="B10" s="98"/>
      <c r="C10" s="22"/>
      <c r="D10" s="22"/>
      <c r="E10" s="49"/>
      <c r="F10" s="22"/>
      <c r="G10" s="22"/>
      <c r="H10" s="69"/>
      <c r="I10" s="22"/>
      <c r="J10" s="22"/>
      <c r="K10" s="71"/>
      <c r="L10" s="72"/>
      <c r="M10" s="41"/>
      <c r="N10" s="22"/>
      <c r="O10" s="71"/>
      <c r="P10" s="41"/>
      <c r="Q10" s="22"/>
      <c r="R10" s="102"/>
    </row>
    <row r="11" spans="1:18">
      <c r="A11" s="89"/>
      <c r="B11" s="89"/>
      <c r="C11" s="41"/>
      <c r="D11" s="41"/>
      <c r="E11" s="41"/>
      <c r="F11" s="41"/>
      <c r="G11" s="41"/>
      <c r="H11" s="69"/>
      <c r="I11" s="41"/>
      <c r="J11" s="41"/>
      <c r="K11" s="74"/>
      <c r="L11" s="75"/>
      <c r="M11" s="41"/>
      <c r="N11" s="41"/>
      <c r="O11" s="74"/>
      <c r="P11" s="41"/>
      <c r="Q11" s="41"/>
    </row>
    <row r="12" spans="1:18">
      <c r="A12" s="76"/>
      <c r="B12" s="76"/>
      <c r="C12" s="16"/>
      <c r="D12" s="16"/>
      <c r="E12" s="17"/>
      <c r="F12" s="17"/>
      <c r="G12" s="15"/>
      <c r="H12" s="53"/>
      <c r="I12" s="24"/>
      <c r="J12" s="24"/>
      <c r="K12" s="9"/>
      <c r="L12" s="27"/>
      <c r="M12" s="40"/>
      <c r="N12" s="24"/>
      <c r="O12" s="9"/>
      <c r="P12" s="40"/>
      <c r="Q12" s="24"/>
      <c r="R12" s="101"/>
    </row>
    <row r="13" spans="1:18">
      <c r="A13" s="99"/>
      <c r="B13" s="99"/>
      <c r="C13" s="26"/>
      <c r="D13" s="14"/>
      <c r="E13" s="14"/>
      <c r="F13" s="14"/>
      <c r="G13" s="14"/>
      <c r="H13" s="62"/>
      <c r="I13" s="14"/>
      <c r="J13" s="14"/>
      <c r="K13" s="9"/>
      <c r="L13" s="9"/>
      <c r="M13" s="28"/>
      <c r="N13" s="14"/>
      <c r="O13" s="9"/>
      <c r="P13" s="28"/>
      <c r="Q13" s="14"/>
    </row>
    <row r="14" spans="1:18">
      <c r="A14" s="21"/>
      <c r="B14" s="98"/>
      <c r="C14" s="76"/>
      <c r="D14" s="16"/>
      <c r="E14" s="17"/>
      <c r="F14" s="17"/>
      <c r="G14" s="15"/>
      <c r="H14" s="49"/>
      <c r="I14" s="77"/>
      <c r="J14" s="77"/>
      <c r="K14" s="27"/>
      <c r="L14" s="27"/>
      <c r="M14" s="16"/>
      <c r="N14" s="16"/>
      <c r="O14" s="27"/>
      <c r="P14" s="16"/>
      <c r="Q14" s="16"/>
      <c r="R14" s="84"/>
    </row>
    <row r="15" spans="1:18">
      <c r="A15" s="76"/>
      <c r="B15" s="76"/>
      <c r="C15" s="18"/>
      <c r="D15" s="16"/>
      <c r="E15" s="17"/>
      <c r="F15" s="17"/>
      <c r="G15" s="15"/>
      <c r="H15" s="51"/>
      <c r="I15" s="52"/>
      <c r="J15" s="52"/>
      <c r="K15" s="50"/>
      <c r="L15" s="35"/>
      <c r="M15" s="52"/>
      <c r="N15" s="31"/>
      <c r="O15" s="50"/>
      <c r="P15" s="52"/>
      <c r="Q15" s="64"/>
    </row>
    <row r="16" spans="1:18">
      <c r="A16" s="76"/>
      <c r="B16" s="76"/>
      <c r="C16" s="16"/>
      <c r="D16" s="16"/>
      <c r="E16" s="17"/>
      <c r="F16" s="17"/>
      <c r="G16" s="15"/>
      <c r="H16" s="51"/>
      <c r="I16" s="25"/>
      <c r="J16" s="25"/>
      <c r="K16" s="35"/>
      <c r="L16" s="35"/>
      <c r="M16" s="16"/>
      <c r="N16" s="16"/>
      <c r="O16" s="35"/>
      <c r="P16" s="16"/>
      <c r="Q16" s="16"/>
    </row>
    <row r="17" spans="1:18">
      <c r="A17" s="76"/>
      <c r="B17" s="76"/>
      <c r="C17" s="16"/>
      <c r="D17" s="16"/>
      <c r="E17" s="17"/>
      <c r="F17" s="17"/>
      <c r="G17" s="15"/>
      <c r="H17" s="51"/>
      <c r="I17" s="25"/>
      <c r="J17" s="26"/>
      <c r="K17" s="27"/>
      <c r="L17" s="27"/>
      <c r="M17" s="16"/>
      <c r="N17" s="16"/>
      <c r="O17" s="27"/>
      <c r="P17" s="16"/>
      <c r="Q17" s="16"/>
      <c r="R17" s="1"/>
    </row>
    <row r="18" spans="1:18">
      <c r="A18" s="76"/>
      <c r="B18" s="76"/>
      <c r="C18" s="16"/>
      <c r="D18" s="33"/>
      <c r="E18" s="34"/>
      <c r="F18" s="34"/>
      <c r="G18" s="32"/>
      <c r="H18" s="53"/>
      <c r="I18" s="54"/>
      <c r="J18" s="54"/>
      <c r="K18" s="55"/>
      <c r="L18" s="56"/>
      <c r="M18" s="16"/>
      <c r="N18" s="54"/>
      <c r="O18" s="55"/>
      <c r="P18" s="16"/>
      <c r="Q18" s="54"/>
    </row>
    <row r="19" spans="1:18">
      <c r="A19" s="76"/>
      <c r="B19" s="76"/>
      <c r="C19" s="18"/>
      <c r="D19" s="18"/>
      <c r="E19" s="18"/>
      <c r="F19" s="18"/>
      <c r="G19" s="18"/>
      <c r="H19" s="19"/>
      <c r="I19" s="18"/>
      <c r="J19" s="18"/>
      <c r="K19" s="50"/>
      <c r="L19" s="35"/>
      <c r="M19" s="18"/>
      <c r="N19" s="18"/>
      <c r="O19" s="50"/>
      <c r="P19" s="18"/>
      <c r="Q19" s="18"/>
      <c r="R19" s="86"/>
    </row>
    <row r="20" spans="1:18">
      <c r="A20" s="21"/>
      <c r="B20" s="21"/>
      <c r="C20" s="14"/>
      <c r="D20" s="18"/>
      <c r="E20" s="17"/>
      <c r="F20" s="18"/>
      <c r="G20" s="18"/>
      <c r="H20" s="19"/>
      <c r="I20" s="14"/>
      <c r="J20" s="14"/>
      <c r="K20" s="9"/>
      <c r="L20" s="9"/>
      <c r="M20" s="28"/>
      <c r="N20" s="14"/>
      <c r="O20" s="9"/>
      <c r="P20" s="28"/>
      <c r="Q20" s="14"/>
    </row>
    <row r="21" spans="1:18">
      <c r="A21" s="99"/>
      <c r="B21" s="99"/>
      <c r="C21" s="14"/>
      <c r="D21" s="16"/>
      <c r="E21" s="17"/>
      <c r="F21" s="17"/>
      <c r="G21" s="15"/>
      <c r="H21" s="19"/>
      <c r="I21" s="14"/>
      <c r="J21" s="14"/>
      <c r="K21" s="9"/>
      <c r="L21" s="27"/>
      <c r="M21" s="28"/>
      <c r="N21" s="14"/>
      <c r="O21" s="9"/>
      <c r="P21" s="28"/>
      <c r="Q21" s="14"/>
    </row>
    <row r="22" spans="1:18">
      <c r="A22" s="99"/>
      <c r="B22" s="99"/>
      <c r="C22" s="14"/>
      <c r="D22" s="16"/>
      <c r="E22" s="17"/>
      <c r="F22" s="17"/>
      <c r="G22" s="15"/>
      <c r="H22" s="51"/>
      <c r="I22" s="25"/>
      <c r="J22" s="26"/>
      <c r="K22" s="27"/>
      <c r="L22" s="27"/>
      <c r="M22" s="16"/>
      <c r="N22" s="16"/>
      <c r="O22" s="27"/>
      <c r="P22" s="16"/>
      <c r="Q22" s="16"/>
      <c r="R22" s="84"/>
    </row>
    <row r="23" spans="1:18">
      <c r="A23" s="21"/>
      <c r="B23" s="98"/>
      <c r="C23" s="14"/>
      <c r="D23" s="14"/>
      <c r="E23" s="14"/>
      <c r="F23" s="14"/>
      <c r="G23" s="14"/>
      <c r="H23" s="19"/>
      <c r="I23" s="14"/>
      <c r="J23" s="14"/>
      <c r="K23" s="9"/>
      <c r="L23" s="27"/>
      <c r="M23" s="28"/>
      <c r="N23" s="14"/>
      <c r="O23" s="9"/>
      <c r="P23" s="28"/>
      <c r="Q23" s="14"/>
      <c r="R23" s="101"/>
    </row>
    <row r="24" spans="1:18">
      <c r="A24" s="14"/>
      <c r="B24" s="14"/>
      <c r="C24" s="14"/>
      <c r="D24" s="14"/>
      <c r="E24" s="14"/>
      <c r="F24" s="14"/>
      <c r="G24" s="14"/>
      <c r="H24" s="19"/>
      <c r="I24" s="18"/>
      <c r="J24" s="26"/>
      <c r="K24" s="27"/>
      <c r="L24" s="27"/>
      <c r="M24" s="29"/>
      <c r="N24" s="26"/>
      <c r="O24" s="27"/>
      <c r="P24" s="29"/>
      <c r="Q24" s="26"/>
    </row>
    <row r="25" spans="1:18">
      <c r="A25" s="89"/>
      <c r="B25" s="89"/>
      <c r="C25" s="41"/>
      <c r="D25" s="41"/>
      <c r="E25" s="41"/>
      <c r="F25" s="41"/>
      <c r="G25" s="41"/>
      <c r="H25" s="69"/>
      <c r="I25" s="41"/>
      <c r="J25" s="41"/>
      <c r="K25" s="74"/>
      <c r="L25" s="75"/>
      <c r="M25" s="41"/>
      <c r="N25" s="41"/>
      <c r="O25" s="74"/>
      <c r="P25" s="41"/>
      <c r="Q25" s="41"/>
      <c r="R25" s="90"/>
    </row>
    <row r="26" spans="1:18">
      <c r="A26" s="76"/>
      <c r="B26" s="76"/>
      <c r="C26" s="18"/>
      <c r="D26" s="18"/>
      <c r="E26" s="18"/>
      <c r="F26" s="18"/>
      <c r="G26" s="18"/>
      <c r="H26" s="19"/>
      <c r="I26" s="18"/>
      <c r="J26" s="18"/>
      <c r="K26" s="50"/>
      <c r="L26" s="35"/>
      <c r="M26" s="18"/>
      <c r="N26" s="18"/>
      <c r="O26" s="50"/>
      <c r="P26" s="18"/>
      <c r="Q26" s="18"/>
      <c r="R26" s="86"/>
    </row>
    <row r="27" spans="1:18">
      <c r="A27" s="76"/>
      <c r="B27" s="76"/>
      <c r="C27" s="16"/>
      <c r="D27" s="21"/>
      <c r="E27" s="21"/>
      <c r="F27" s="21"/>
      <c r="G27" s="21"/>
      <c r="H27" s="57"/>
      <c r="I27" s="18"/>
      <c r="J27" s="18"/>
      <c r="K27" s="50"/>
      <c r="L27" s="35"/>
      <c r="M27" s="25"/>
      <c r="N27" s="25"/>
      <c r="O27" s="50"/>
      <c r="P27" s="18"/>
      <c r="Q27" s="18"/>
      <c r="R27" s="101"/>
    </row>
    <row r="28" spans="1:18">
      <c r="A28" s="21"/>
      <c r="B28" s="21"/>
      <c r="C28" s="14"/>
      <c r="D28" s="18"/>
      <c r="E28" s="17"/>
      <c r="F28" s="18"/>
      <c r="G28" s="18"/>
      <c r="H28" s="19"/>
      <c r="I28" s="14"/>
      <c r="J28" s="14"/>
      <c r="K28" s="9"/>
      <c r="L28" s="9"/>
      <c r="M28" s="28"/>
      <c r="N28" s="14"/>
      <c r="O28" s="9"/>
      <c r="P28" s="28"/>
      <c r="Q28" s="14"/>
    </row>
    <row r="29" spans="1:18">
      <c r="A29" s="21"/>
      <c r="B29" s="98"/>
      <c r="C29" s="14"/>
      <c r="D29" s="14"/>
      <c r="E29" s="14"/>
      <c r="F29" s="14"/>
      <c r="G29" s="14"/>
      <c r="H29" s="19"/>
      <c r="I29" s="14"/>
      <c r="J29" s="14"/>
      <c r="K29" s="9"/>
      <c r="L29" s="27"/>
      <c r="M29" s="28"/>
      <c r="N29" s="14"/>
      <c r="O29" s="9"/>
      <c r="P29" s="28"/>
      <c r="Q29" s="14"/>
      <c r="R29" s="101"/>
    </row>
    <row r="30" spans="1:18">
      <c r="A30" s="21"/>
      <c r="B30" s="21"/>
      <c r="C30" s="14"/>
      <c r="D30" s="18"/>
      <c r="E30" s="17"/>
      <c r="F30" s="18"/>
      <c r="G30" s="18"/>
      <c r="H30" s="19"/>
      <c r="I30" s="14"/>
      <c r="J30" s="14"/>
      <c r="K30" s="9"/>
      <c r="L30" s="9"/>
      <c r="M30" s="28"/>
      <c r="N30" s="14"/>
      <c r="O30" s="9"/>
      <c r="P30" s="28"/>
      <c r="Q30" s="14"/>
    </row>
    <row r="31" spans="1:18">
      <c r="A31" s="21"/>
      <c r="B31" s="21"/>
      <c r="C31" s="14"/>
      <c r="D31" s="14"/>
      <c r="E31" s="14"/>
      <c r="F31" s="14"/>
      <c r="G31" s="14"/>
      <c r="H31" s="62"/>
      <c r="I31" s="29"/>
      <c r="J31" s="29"/>
      <c r="K31" s="30"/>
      <c r="L31" s="30"/>
      <c r="M31" s="29"/>
      <c r="N31" s="29"/>
      <c r="O31" s="30"/>
      <c r="P31" s="29"/>
      <c r="Q31" s="29"/>
      <c r="R31" s="91"/>
    </row>
    <row r="32" spans="1:18">
      <c r="A32" s="21"/>
      <c r="B32" s="21"/>
      <c r="C32" s="49"/>
      <c r="D32" s="14"/>
      <c r="E32" s="14"/>
      <c r="F32" s="14"/>
      <c r="G32" s="14"/>
      <c r="H32" s="69"/>
      <c r="I32" s="14"/>
      <c r="J32" s="14"/>
      <c r="K32" s="9"/>
      <c r="L32" s="27"/>
      <c r="M32" s="28"/>
      <c r="N32" s="14"/>
      <c r="O32" s="9"/>
      <c r="P32" s="28"/>
      <c r="Q32" s="14"/>
    </row>
    <row r="33" spans="1:18">
      <c r="A33" s="21"/>
      <c r="B33" s="98"/>
      <c r="C33" s="14"/>
      <c r="D33" s="14"/>
      <c r="E33" s="14"/>
      <c r="F33" s="14"/>
      <c r="G33" s="14"/>
      <c r="H33" s="69"/>
      <c r="I33" s="14"/>
      <c r="J33" s="14"/>
      <c r="K33" s="27"/>
      <c r="L33" s="27"/>
      <c r="M33" s="29"/>
      <c r="N33" s="26"/>
      <c r="O33" s="27"/>
      <c r="P33" s="29"/>
      <c r="Q33" s="26"/>
      <c r="R33" s="101"/>
    </row>
    <row r="34" spans="1:18">
      <c r="A34" s="76"/>
      <c r="B34" s="76"/>
      <c r="C34" s="26"/>
      <c r="D34" s="16"/>
      <c r="E34" s="17"/>
      <c r="F34" s="17"/>
      <c r="G34" s="15"/>
      <c r="H34" s="67"/>
      <c r="I34" s="25"/>
      <c r="J34" s="16"/>
      <c r="K34" s="27"/>
      <c r="L34" s="27"/>
      <c r="M34" s="68"/>
      <c r="N34" s="16"/>
      <c r="O34" s="27"/>
      <c r="P34" s="68"/>
      <c r="Q34" s="16"/>
    </row>
    <row r="35" spans="1:18">
      <c r="A35" s="76"/>
      <c r="B35" s="76"/>
      <c r="C35" s="26"/>
      <c r="D35" s="16"/>
      <c r="E35" s="17"/>
      <c r="F35" s="17"/>
      <c r="G35" s="15"/>
      <c r="H35" s="67"/>
      <c r="I35" s="25"/>
      <c r="J35" s="16"/>
      <c r="K35" s="27"/>
      <c r="L35" s="27"/>
      <c r="M35" s="68"/>
      <c r="N35" s="16"/>
      <c r="O35" s="27"/>
      <c r="P35" s="68"/>
      <c r="Q35" s="16"/>
    </row>
    <row r="36" spans="1:18">
      <c r="A36" s="76"/>
      <c r="B36" s="76"/>
      <c r="C36" s="26"/>
      <c r="D36" s="16"/>
      <c r="E36" s="17"/>
      <c r="F36" s="17"/>
      <c r="G36" s="15"/>
      <c r="H36" s="49"/>
      <c r="I36" s="64"/>
      <c r="J36" s="64"/>
      <c r="K36" s="27"/>
      <c r="L36" s="27"/>
      <c r="M36" s="81"/>
      <c r="N36" s="81"/>
      <c r="O36" s="27"/>
      <c r="P36" s="81"/>
      <c r="Q36" s="81"/>
      <c r="R36" s="88"/>
    </row>
    <row r="37" spans="1:18">
      <c r="A37" s="76"/>
      <c r="B37" s="76"/>
      <c r="C37" s="26"/>
      <c r="D37" s="36"/>
      <c r="E37" s="61"/>
      <c r="F37" s="43"/>
      <c r="G37" s="42"/>
      <c r="H37" s="57"/>
      <c r="I37" s="14"/>
      <c r="J37" s="14"/>
      <c r="K37" s="9"/>
      <c r="L37" s="27"/>
      <c r="M37" s="29"/>
      <c r="N37" s="26"/>
      <c r="O37" s="9"/>
      <c r="P37" s="28"/>
      <c r="Q37" s="14"/>
      <c r="R37" s="101"/>
    </row>
    <row r="38" spans="1:18">
      <c r="A38" s="21"/>
      <c r="B38" s="21"/>
      <c r="C38" s="14"/>
      <c r="D38" s="18"/>
      <c r="E38" s="17"/>
      <c r="F38" s="18"/>
      <c r="G38" s="18"/>
      <c r="H38" s="19"/>
      <c r="I38" s="14"/>
      <c r="J38" s="14"/>
      <c r="K38" s="9"/>
      <c r="L38" s="9"/>
      <c r="M38" s="28"/>
      <c r="N38" s="14"/>
      <c r="O38" s="9"/>
      <c r="P38" s="28"/>
      <c r="Q38" s="14"/>
    </row>
    <row r="39" spans="1:18">
      <c r="A39" s="21"/>
      <c r="B39" s="21"/>
      <c r="C39" s="14"/>
      <c r="D39" s="18"/>
      <c r="E39" s="17"/>
      <c r="F39" s="18"/>
      <c r="G39" s="18"/>
      <c r="H39" s="19"/>
      <c r="I39" s="14"/>
      <c r="J39" s="14"/>
      <c r="K39" s="9"/>
      <c r="L39" s="9"/>
      <c r="M39" s="28"/>
      <c r="N39" s="14"/>
      <c r="O39" s="9"/>
      <c r="P39" s="28"/>
      <c r="Q39" s="14"/>
      <c r="R39" s="101"/>
    </row>
    <row r="40" spans="1:18" s="73" customFormat="1">
      <c r="A40" s="89"/>
      <c r="B40" s="89"/>
      <c r="C40" s="28"/>
      <c r="D40" s="28"/>
      <c r="E40" s="28"/>
      <c r="F40" s="28"/>
      <c r="G40" s="28"/>
      <c r="H40" s="69"/>
      <c r="I40" s="28"/>
      <c r="J40" s="28"/>
      <c r="K40" s="63"/>
      <c r="L40" s="30"/>
      <c r="M40" s="28"/>
      <c r="N40" s="28"/>
      <c r="O40" s="63"/>
      <c r="P40" s="28"/>
      <c r="Q40" s="28"/>
      <c r="R40" s="87"/>
    </row>
    <row r="41" spans="1:18">
      <c r="A41" s="76"/>
      <c r="B41" s="76"/>
      <c r="C41" s="16"/>
      <c r="D41" s="16"/>
      <c r="E41" s="17"/>
      <c r="F41" s="17"/>
      <c r="G41" s="15"/>
      <c r="H41" s="51"/>
      <c r="I41" s="25"/>
      <c r="J41" s="26"/>
      <c r="K41" s="27"/>
      <c r="L41" s="27"/>
      <c r="M41" s="16"/>
      <c r="N41" s="16"/>
      <c r="O41" s="27"/>
      <c r="P41" s="16"/>
      <c r="Q41" s="16"/>
    </row>
    <row r="42" spans="1:18">
      <c r="A42" s="76"/>
      <c r="B42" s="76"/>
      <c r="C42" s="14"/>
      <c r="D42" s="14"/>
      <c r="E42" s="14"/>
      <c r="F42" s="14"/>
      <c r="G42" s="14"/>
      <c r="H42" s="19"/>
      <c r="I42" s="14"/>
      <c r="J42" s="14"/>
      <c r="K42" s="9"/>
      <c r="L42" s="27"/>
      <c r="M42" s="28"/>
      <c r="N42" s="14"/>
      <c r="O42" s="9"/>
      <c r="P42" s="28"/>
      <c r="Q42" s="14"/>
    </row>
    <row r="43" spans="1:18">
      <c r="A43" s="21"/>
      <c r="B43" s="21"/>
      <c r="C43" s="36"/>
      <c r="D43" s="36"/>
      <c r="E43" s="43"/>
      <c r="F43" s="43"/>
      <c r="G43" s="42"/>
      <c r="H43" s="66"/>
      <c r="I43" s="25"/>
      <c r="J43" s="25"/>
      <c r="K43" s="35"/>
      <c r="L43" s="35"/>
      <c r="M43" s="82"/>
      <c r="N43" s="82"/>
      <c r="O43" s="35"/>
      <c r="P43" s="36"/>
      <c r="Q43" s="36"/>
    </row>
    <row r="44" spans="1:18">
      <c r="A44" s="76"/>
      <c r="B44" s="76"/>
      <c r="C44" s="16"/>
      <c r="D44" s="16"/>
      <c r="E44" s="17"/>
      <c r="F44" s="17"/>
      <c r="G44" s="15"/>
      <c r="H44" s="51"/>
      <c r="I44" s="25"/>
      <c r="J44" s="26"/>
      <c r="K44" s="27"/>
      <c r="L44" s="27"/>
      <c r="M44" s="16"/>
      <c r="N44" s="16"/>
      <c r="O44" s="27"/>
      <c r="P44" s="16"/>
      <c r="Q44" s="16"/>
    </row>
    <row r="45" spans="1:18">
      <c r="A45" s="21"/>
      <c r="B45" s="21"/>
      <c r="C45" s="14"/>
      <c r="D45" s="18"/>
      <c r="E45" s="17"/>
      <c r="F45" s="18"/>
      <c r="G45" s="18"/>
      <c r="H45" s="19"/>
      <c r="I45" s="14"/>
      <c r="J45" s="14"/>
      <c r="K45" s="9"/>
      <c r="L45" s="9"/>
      <c r="M45" s="28"/>
      <c r="N45" s="14"/>
      <c r="O45" s="9"/>
      <c r="P45" s="28"/>
      <c r="Q45" s="14"/>
      <c r="R45" s="85"/>
    </row>
    <row r="46" spans="1:18">
      <c r="A46" s="21"/>
      <c r="B46" s="21"/>
      <c r="C46" s="14"/>
      <c r="D46" s="14"/>
      <c r="E46" s="14"/>
      <c r="F46" s="14"/>
      <c r="G46" s="14"/>
      <c r="H46" s="19"/>
      <c r="I46" s="18"/>
      <c r="J46" s="14"/>
      <c r="K46" s="9"/>
      <c r="L46" s="9"/>
      <c r="M46" s="28"/>
      <c r="N46" s="14"/>
      <c r="O46" s="9"/>
      <c r="P46" s="28"/>
      <c r="Q46" s="14"/>
    </row>
    <row r="47" spans="1:18">
      <c r="A47" s="21"/>
      <c r="B47" s="21"/>
      <c r="C47" s="14"/>
      <c r="D47" s="14"/>
      <c r="E47" s="14"/>
      <c r="F47" s="14"/>
      <c r="G47" s="14"/>
      <c r="H47" s="19"/>
      <c r="I47" s="14"/>
      <c r="J47" s="14"/>
      <c r="K47" s="9"/>
      <c r="L47" s="9"/>
      <c r="M47" s="28"/>
      <c r="N47" s="14"/>
      <c r="O47" s="9"/>
      <c r="P47" s="28"/>
      <c r="Q47" s="14"/>
    </row>
    <row r="48" spans="1:18">
      <c r="A48" s="21"/>
      <c r="B48" s="98"/>
      <c r="C48" s="14"/>
      <c r="D48" s="14"/>
      <c r="E48" s="14"/>
      <c r="F48" s="14"/>
      <c r="G48" s="14"/>
      <c r="H48" s="19"/>
      <c r="I48" s="14"/>
      <c r="J48" s="14"/>
      <c r="K48" s="9"/>
      <c r="L48" s="27"/>
      <c r="M48" s="28"/>
      <c r="N48" s="14"/>
      <c r="O48" s="9"/>
      <c r="P48" s="28"/>
      <c r="Q48" s="14"/>
    </row>
    <row r="49" spans="1:18">
      <c r="A49" s="76"/>
      <c r="B49" s="76"/>
      <c r="C49" s="18"/>
      <c r="D49" s="16"/>
      <c r="E49" s="17"/>
      <c r="F49" s="17"/>
      <c r="G49" s="15"/>
      <c r="H49" s="51"/>
      <c r="I49" s="52"/>
      <c r="J49" s="52"/>
      <c r="K49" s="50"/>
      <c r="L49" s="35"/>
      <c r="M49" s="16"/>
      <c r="N49" s="52"/>
      <c r="O49" s="50"/>
      <c r="P49" s="16"/>
      <c r="Q49" s="52"/>
      <c r="R49" s="85"/>
    </row>
    <row r="50" spans="1:18">
      <c r="A50" s="76"/>
      <c r="B50" s="76"/>
      <c r="C50" s="16"/>
      <c r="D50" s="16"/>
      <c r="E50" s="17"/>
      <c r="F50" s="17"/>
      <c r="G50" s="15"/>
      <c r="H50" s="51"/>
      <c r="I50" s="25"/>
      <c r="J50" s="25"/>
      <c r="K50" s="35"/>
      <c r="L50" s="35"/>
      <c r="M50" s="16"/>
      <c r="N50" s="16"/>
      <c r="O50" s="35"/>
      <c r="P50" s="16"/>
      <c r="Q50" s="16"/>
      <c r="R50" s="85"/>
    </row>
    <row r="51" spans="1:18">
      <c r="A51" s="76"/>
      <c r="B51" s="76"/>
      <c r="C51" s="16"/>
      <c r="D51" s="16"/>
      <c r="E51" s="17"/>
      <c r="F51" s="17"/>
      <c r="G51" s="15"/>
      <c r="H51" s="51"/>
      <c r="I51" s="25"/>
      <c r="J51" s="26"/>
      <c r="K51" s="27"/>
      <c r="L51" s="27"/>
      <c r="M51" s="16"/>
      <c r="N51" s="16"/>
      <c r="O51" s="27"/>
      <c r="P51" s="16"/>
      <c r="Q51" s="16"/>
    </row>
    <row r="52" spans="1:18">
      <c r="A52" s="76"/>
      <c r="B52" s="76"/>
      <c r="C52" s="16"/>
      <c r="D52" s="16"/>
      <c r="E52" s="17"/>
      <c r="F52" s="17"/>
      <c r="G52" s="15"/>
      <c r="H52" s="51"/>
      <c r="I52" s="24"/>
      <c r="J52" s="24"/>
      <c r="K52" s="9"/>
      <c r="L52" s="27"/>
      <c r="M52" s="40"/>
      <c r="N52" s="24"/>
      <c r="O52" s="9"/>
      <c r="P52" s="40"/>
      <c r="Q52" s="24"/>
    </row>
    <row r="53" spans="1:18">
      <c r="A53" s="76"/>
      <c r="B53" s="76"/>
      <c r="C53" s="16"/>
      <c r="D53" s="16"/>
      <c r="E53" s="17"/>
      <c r="F53" s="17"/>
      <c r="G53" s="15"/>
      <c r="H53" s="51"/>
      <c r="I53" s="24"/>
      <c r="J53" s="24"/>
      <c r="K53" s="9"/>
      <c r="L53" s="27"/>
      <c r="M53" s="39"/>
      <c r="N53" s="24"/>
      <c r="O53" s="9"/>
      <c r="P53" s="39"/>
      <c r="Q53" s="64"/>
      <c r="R53" s="85"/>
    </row>
    <row r="54" spans="1:18">
      <c r="A54" s="21"/>
      <c r="B54" s="21"/>
      <c r="C54" s="14"/>
      <c r="D54" s="18"/>
      <c r="E54" s="17"/>
      <c r="F54" s="18"/>
      <c r="G54" s="18"/>
      <c r="H54" s="19"/>
      <c r="I54" s="14"/>
      <c r="J54" s="14"/>
      <c r="K54" s="9"/>
      <c r="L54" s="9"/>
      <c r="M54" s="28"/>
      <c r="N54" s="14"/>
      <c r="O54" s="9"/>
      <c r="P54" s="28"/>
      <c r="Q54" s="14"/>
    </row>
    <row r="55" spans="1:18">
      <c r="A55" s="76"/>
      <c r="B55" s="76"/>
      <c r="C55" s="18"/>
      <c r="D55" s="18"/>
      <c r="E55" s="18"/>
      <c r="F55" s="18"/>
      <c r="G55" s="18"/>
      <c r="H55" s="19"/>
      <c r="I55" s="18"/>
      <c r="J55" s="18"/>
      <c r="K55" s="50"/>
      <c r="L55" s="35"/>
      <c r="M55" s="18"/>
      <c r="N55" s="18"/>
      <c r="O55" s="50"/>
      <c r="P55" s="18"/>
      <c r="Q55" s="18"/>
      <c r="R55" s="85"/>
    </row>
    <row r="56" spans="1:18">
      <c r="A56" s="76"/>
      <c r="B56" s="76"/>
      <c r="C56" s="14"/>
      <c r="D56" s="14"/>
      <c r="E56" s="14"/>
      <c r="F56" s="14"/>
      <c r="G56" s="14"/>
      <c r="H56" s="62"/>
      <c r="I56" s="14"/>
      <c r="J56" s="14"/>
      <c r="K56" s="9"/>
      <c r="L56" s="27"/>
      <c r="M56" s="79"/>
      <c r="N56" s="83"/>
      <c r="O56" s="9"/>
      <c r="P56" s="28"/>
      <c r="Q56" s="14"/>
      <c r="R56" s="85"/>
    </row>
    <row r="57" spans="1:18">
      <c r="A57" s="21"/>
      <c r="B57" s="21"/>
      <c r="C57" s="14"/>
      <c r="D57" s="18"/>
      <c r="E57" s="17"/>
      <c r="F57" s="18"/>
      <c r="G57" s="18"/>
      <c r="H57" s="19"/>
      <c r="I57" s="14"/>
      <c r="J57" s="14"/>
      <c r="K57" s="9"/>
      <c r="L57" s="9"/>
      <c r="M57" s="28"/>
      <c r="N57" s="14"/>
      <c r="O57" s="9"/>
      <c r="P57" s="28"/>
      <c r="Q57" s="14"/>
      <c r="R57" s="101"/>
    </row>
    <row r="58" spans="1:18">
      <c r="A58" s="99"/>
      <c r="B58" s="99"/>
      <c r="C58" s="14"/>
      <c r="D58" s="16"/>
      <c r="E58" s="17"/>
      <c r="F58" s="17"/>
      <c r="G58" s="15"/>
      <c r="H58" s="67"/>
      <c r="I58" s="25"/>
      <c r="J58" s="16"/>
      <c r="K58" s="27"/>
      <c r="L58" s="27"/>
      <c r="M58" s="64"/>
      <c r="N58" s="65"/>
      <c r="O58" s="27"/>
      <c r="P58" s="64"/>
      <c r="Q58" s="65"/>
    </row>
    <row r="59" spans="1:18">
      <c r="A59" s="99"/>
      <c r="B59" s="99"/>
      <c r="C59" s="14"/>
      <c r="D59" s="14"/>
      <c r="E59" s="14"/>
      <c r="F59" s="14"/>
      <c r="G59" s="14"/>
      <c r="H59" s="19"/>
      <c r="I59" s="14"/>
      <c r="J59" s="18"/>
      <c r="K59" s="9"/>
      <c r="L59" s="27"/>
      <c r="M59" s="28"/>
      <c r="N59" s="14"/>
      <c r="O59" s="9"/>
      <c r="P59" s="28"/>
      <c r="Q59" s="14"/>
    </row>
    <row r="60" spans="1:18">
      <c r="A60" s="99"/>
      <c r="B60" s="99"/>
      <c r="C60" s="14"/>
      <c r="D60" s="14"/>
      <c r="E60" s="14"/>
      <c r="F60" s="14"/>
      <c r="G60" s="14"/>
      <c r="H60" s="19"/>
      <c r="I60" s="14"/>
      <c r="J60" s="14"/>
      <c r="K60" s="27"/>
      <c r="L60" s="27"/>
      <c r="M60" s="29"/>
      <c r="N60" s="26"/>
      <c r="O60" s="27"/>
      <c r="P60" s="29"/>
      <c r="Q60" s="26"/>
      <c r="R60" s="103"/>
    </row>
    <row r="61" spans="1:18">
      <c r="A61" s="99"/>
      <c r="B61" s="99"/>
      <c r="C61" s="14"/>
      <c r="D61" s="16"/>
      <c r="E61" s="17"/>
      <c r="F61" s="17"/>
      <c r="G61" s="15"/>
      <c r="H61" s="70"/>
      <c r="I61" s="78"/>
      <c r="J61" s="23"/>
      <c r="K61" s="30"/>
      <c r="L61" s="9"/>
      <c r="M61" s="80"/>
      <c r="N61" s="16"/>
      <c r="O61" s="9"/>
      <c r="P61" s="80"/>
      <c r="Q61" s="77"/>
    </row>
    <row r="62" spans="1:18">
      <c r="A62" s="76"/>
      <c r="B62" s="76"/>
      <c r="C62" s="14"/>
      <c r="D62" s="14"/>
      <c r="E62" s="14"/>
      <c r="F62" s="14"/>
      <c r="G62" s="14"/>
      <c r="H62" s="62"/>
      <c r="I62" s="14"/>
      <c r="J62" s="14"/>
      <c r="K62" s="9"/>
      <c r="L62" s="27"/>
      <c r="M62" s="79"/>
      <c r="N62" s="83"/>
      <c r="O62" s="9"/>
      <c r="P62" s="28"/>
      <c r="Q62" s="14"/>
      <c r="R62" s="101"/>
    </row>
    <row r="63" spans="1:18">
      <c r="A63" s="14"/>
      <c r="B63" s="14"/>
      <c r="C63" s="14"/>
      <c r="D63" s="14"/>
      <c r="E63" s="14"/>
      <c r="F63" s="14"/>
      <c r="G63" s="14"/>
      <c r="H63" s="19"/>
      <c r="I63" s="18"/>
      <c r="J63" s="26"/>
      <c r="K63" s="27"/>
      <c r="L63" s="27"/>
      <c r="M63" s="29"/>
      <c r="N63" s="26"/>
      <c r="O63" s="27"/>
      <c r="P63" s="29"/>
      <c r="Q63" s="26"/>
      <c r="R63" s="92"/>
    </row>
    <row r="64" spans="1:18">
      <c r="A64" s="21"/>
      <c r="B64" s="21"/>
      <c r="C64" s="14"/>
      <c r="D64" s="18"/>
      <c r="E64" s="17"/>
      <c r="F64" s="18"/>
      <c r="G64" s="18"/>
      <c r="H64" s="19"/>
      <c r="I64" s="14"/>
      <c r="J64" s="14"/>
      <c r="K64" s="9"/>
      <c r="L64" s="9"/>
      <c r="M64" s="28"/>
      <c r="N64" s="14"/>
      <c r="O64" s="9"/>
      <c r="P64" s="28"/>
      <c r="Q64" s="14"/>
      <c r="R64" s="101"/>
    </row>
    <row r="65" spans="1:18">
      <c r="A65" s="76"/>
      <c r="B65" s="76"/>
      <c r="C65" s="16"/>
      <c r="D65" s="16"/>
      <c r="E65" s="17"/>
      <c r="F65" s="17"/>
      <c r="G65" s="15"/>
      <c r="H65" s="66"/>
      <c r="I65" s="58"/>
      <c r="J65" s="58"/>
      <c r="K65" s="35"/>
      <c r="L65" s="35"/>
      <c r="M65" s="36"/>
      <c r="N65" s="58"/>
      <c r="O65" s="35"/>
      <c r="P65" s="36"/>
      <c r="Q65" s="58"/>
      <c r="R65" s="85"/>
    </row>
    <row r="66" spans="1:18">
      <c r="A66" s="76"/>
      <c r="B66" s="76"/>
      <c r="C66" s="16"/>
      <c r="D66" s="36"/>
      <c r="E66" s="18"/>
      <c r="F66" s="43"/>
      <c r="G66" s="42"/>
      <c r="H66" s="57"/>
      <c r="I66" s="18"/>
      <c r="J66" s="18"/>
      <c r="K66" s="50"/>
      <c r="L66" s="35"/>
      <c r="M66" s="25"/>
      <c r="N66" s="25"/>
      <c r="O66" s="50"/>
      <c r="P66" s="18"/>
      <c r="Q66" s="18"/>
      <c r="R66" s="92"/>
    </row>
    <row r="67" spans="1:18">
      <c r="A67" s="76"/>
      <c r="B67" s="76"/>
      <c r="C67" s="16"/>
      <c r="D67" s="16"/>
      <c r="E67" s="17"/>
      <c r="F67" s="17"/>
      <c r="G67" s="15"/>
      <c r="H67" s="49"/>
      <c r="I67" s="64"/>
      <c r="J67" s="64"/>
      <c r="K67" s="27"/>
      <c r="L67" s="27"/>
      <c r="M67" s="64"/>
      <c r="N67" s="64"/>
      <c r="O67" s="27"/>
      <c r="P67" s="64"/>
      <c r="Q67" s="64"/>
      <c r="R67" s="92"/>
    </row>
    <row r="68" spans="1:18">
      <c r="A68" s="89"/>
      <c r="B68" s="89"/>
      <c r="C68" s="41"/>
      <c r="D68" s="41"/>
      <c r="E68" s="41"/>
      <c r="F68" s="41"/>
      <c r="G68" s="41"/>
      <c r="H68" s="69"/>
      <c r="I68" s="41"/>
      <c r="J68" s="41"/>
      <c r="K68" s="74"/>
      <c r="L68" s="75"/>
      <c r="M68" s="41"/>
      <c r="N68" s="41"/>
      <c r="O68" s="74"/>
      <c r="P68" s="41"/>
      <c r="Q68" s="41"/>
      <c r="R68" s="92"/>
    </row>
    <row r="69" spans="1:18">
      <c r="A69" s="99"/>
      <c r="B69" s="99"/>
      <c r="C69" s="14"/>
      <c r="D69" s="14"/>
      <c r="E69" s="14"/>
      <c r="F69" s="14"/>
      <c r="G69" s="14"/>
      <c r="H69" s="19"/>
      <c r="I69" s="14"/>
      <c r="J69" s="14"/>
      <c r="K69" s="27"/>
      <c r="L69" s="27"/>
      <c r="M69" s="29"/>
      <c r="N69" s="26"/>
      <c r="O69" s="27"/>
      <c r="P69" s="29"/>
      <c r="Q69" s="26"/>
    </row>
    <row r="70" spans="1:18">
      <c r="A70" s="99"/>
      <c r="B70" s="99"/>
      <c r="C70" s="14"/>
      <c r="D70" s="14"/>
      <c r="E70" s="14"/>
      <c r="F70" s="14"/>
      <c r="G70" s="14"/>
      <c r="H70" s="19"/>
      <c r="I70" s="14"/>
      <c r="J70" s="14"/>
      <c r="K70" s="9"/>
      <c r="L70" s="27"/>
      <c r="M70" s="28"/>
      <c r="N70" s="14"/>
      <c r="O70" s="9"/>
      <c r="P70" s="28"/>
      <c r="Q70" s="14"/>
      <c r="R70" s="101"/>
    </row>
    <row r="71" spans="1:18">
      <c r="A71" s="76"/>
      <c r="B71" s="76"/>
      <c r="C71" s="14"/>
      <c r="D71" s="14"/>
      <c r="E71" s="14"/>
      <c r="F71" s="14"/>
      <c r="G71" s="14"/>
      <c r="H71" s="19"/>
      <c r="I71" s="14"/>
      <c r="J71" s="14"/>
      <c r="K71" s="9"/>
      <c r="L71" s="27"/>
      <c r="M71" s="28"/>
      <c r="N71" s="14"/>
      <c r="O71" s="9"/>
      <c r="P71" s="28"/>
      <c r="Q71" s="14"/>
      <c r="R71" s="92"/>
    </row>
    <row r="72" spans="1:18">
      <c r="A72" s="21"/>
      <c r="B72" s="21"/>
      <c r="C72" s="14"/>
      <c r="D72" s="18"/>
      <c r="E72" s="17"/>
      <c r="F72" s="18"/>
      <c r="G72" s="18"/>
      <c r="H72" s="69"/>
      <c r="I72" s="20"/>
      <c r="J72" s="20"/>
      <c r="K72" s="55"/>
      <c r="L72" s="56"/>
      <c r="M72" s="59"/>
      <c r="N72" s="59"/>
      <c r="O72" s="56"/>
      <c r="P72" s="59"/>
      <c r="Q72" s="59"/>
    </row>
    <row r="73" spans="1:18">
      <c r="A73" s="21"/>
      <c r="B73" s="21"/>
      <c r="C73" s="49"/>
      <c r="D73" s="14"/>
      <c r="E73" s="14"/>
      <c r="F73" s="14"/>
      <c r="G73" s="14"/>
      <c r="H73" s="69"/>
      <c r="I73" s="14"/>
      <c r="J73" s="14"/>
      <c r="K73" s="9"/>
      <c r="L73" s="27"/>
      <c r="M73" s="28"/>
      <c r="N73" s="14"/>
      <c r="O73" s="9"/>
      <c r="P73" s="28"/>
      <c r="Q73" s="14"/>
      <c r="R73" s="101"/>
    </row>
    <row r="74" spans="1:18">
      <c r="A74" s="76"/>
      <c r="B74" s="76"/>
      <c r="C74" s="26"/>
      <c r="D74" s="16"/>
      <c r="E74" s="17"/>
      <c r="F74" s="17"/>
      <c r="G74" s="15"/>
      <c r="H74" s="67"/>
      <c r="I74" s="25"/>
      <c r="J74" s="16"/>
      <c r="K74" s="27"/>
      <c r="L74" s="27"/>
      <c r="M74" s="68"/>
      <c r="N74" s="16"/>
      <c r="O74" s="27"/>
      <c r="P74" s="68"/>
      <c r="Q74" s="16"/>
      <c r="R74" s="101"/>
    </row>
    <row r="75" spans="1:18">
      <c r="A75" s="76"/>
      <c r="B75" s="76"/>
      <c r="C75" s="26"/>
      <c r="D75" s="16"/>
      <c r="E75" s="17"/>
      <c r="F75" s="17"/>
      <c r="G75" s="15"/>
      <c r="H75" s="67"/>
      <c r="I75" s="25"/>
      <c r="J75" s="16"/>
      <c r="K75" s="27"/>
      <c r="L75" s="27"/>
      <c r="M75" s="64"/>
      <c r="N75" s="68"/>
      <c r="O75" s="27"/>
      <c r="P75" s="64"/>
      <c r="Q75" s="68"/>
    </row>
    <row r="76" spans="1:18">
      <c r="A76" s="76"/>
      <c r="B76" s="76"/>
      <c r="C76" s="16"/>
      <c r="D76" s="16"/>
      <c r="E76" s="17"/>
      <c r="F76" s="17"/>
      <c r="G76" s="15"/>
      <c r="H76" s="51"/>
      <c r="I76" s="24"/>
      <c r="J76" s="24"/>
      <c r="K76" s="9"/>
      <c r="L76" s="27"/>
      <c r="M76" s="39"/>
      <c r="N76" s="24"/>
      <c r="O76" s="9"/>
      <c r="P76" s="39"/>
      <c r="Q76" s="64"/>
    </row>
    <row r="77" spans="1:18">
      <c r="A77" s="89"/>
      <c r="B77" s="89"/>
      <c r="C77" s="28"/>
      <c r="D77" s="28"/>
      <c r="E77" s="28"/>
      <c r="F77" s="28"/>
      <c r="G77" s="28"/>
      <c r="H77" s="69"/>
      <c r="I77" s="28"/>
      <c r="J77" s="28"/>
      <c r="K77" s="63"/>
      <c r="L77" s="30"/>
      <c r="M77" s="28"/>
      <c r="N77" s="28"/>
      <c r="O77" s="63"/>
      <c r="P77" s="28"/>
      <c r="Q77" s="28"/>
      <c r="R77" s="92"/>
    </row>
  </sheetData>
  <autoFilter ref="A5:R77"/>
  <sortState ref="A6:R77">
    <sortCondition ref="R6:R77"/>
    <sortCondition ref="C6:C77"/>
    <sortCondition ref="B6:B77"/>
    <sortCondition ref="A6:A77"/>
  </sortState>
  <mergeCells count="15">
    <mergeCell ref="A1:A4"/>
    <mergeCell ref="B1:B4"/>
    <mergeCell ref="C1:C4"/>
    <mergeCell ref="D1:D4"/>
    <mergeCell ref="E1:E4"/>
    <mergeCell ref="F1:F4"/>
    <mergeCell ref="K1:Q1"/>
    <mergeCell ref="G1:G4"/>
    <mergeCell ref="H1:H4"/>
    <mergeCell ref="I1:I4"/>
    <mergeCell ref="J1:J4"/>
    <mergeCell ref="K2:K4"/>
    <mergeCell ref="L2:Q2"/>
    <mergeCell ref="L3:N3"/>
    <mergeCell ref="O3:Q3"/>
  </mergeCells>
  <phoneticPr fontId="2" type="noConversion"/>
  <pageMargins left="0.4" right="0.54" top="0.54" bottom="0.55000000000000004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Q79" sqref="Q79"/>
    </sheetView>
  </sheetViews>
  <sheetFormatPr defaultRowHeight="15"/>
  <cols>
    <col min="5" max="6" width="9.140625" style="213"/>
    <col min="9" max="9" width="9.42578125" customWidth="1"/>
    <col min="12" max="12" width="13.85546875" bestFit="1" customWidth="1"/>
  </cols>
  <sheetData>
    <row r="1" spans="1:16" ht="15.75" thickBot="1">
      <c r="C1" s="444"/>
      <c r="D1" s="445"/>
      <c r="G1" s="444"/>
      <c r="H1" s="445"/>
    </row>
    <row r="2" spans="1:16">
      <c r="A2" s="138"/>
      <c r="B2" s="139"/>
      <c r="C2" s="446" t="s">
        <v>66</v>
      </c>
      <c r="D2" s="447"/>
      <c r="E2" s="450" t="s">
        <v>226</v>
      </c>
      <c r="F2" s="451"/>
      <c r="G2" s="448" t="s">
        <v>67</v>
      </c>
      <c r="H2" s="449"/>
      <c r="I2" s="140"/>
      <c r="J2" s="140"/>
      <c r="K2" s="140"/>
      <c r="L2" s="140"/>
      <c r="M2" s="140"/>
      <c r="N2" s="140"/>
      <c r="O2" s="140"/>
      <c r="P2" s="113"/>
    </row>
    <row r="3" spans="1:16">
      <c r="A3" s="438" t="s">
        <v>202</v>
      </c>
      <c r="B3" s="439"/>
      <c r="C3" s="439"/>
      <c r="D3" s="439"/>
      <c r="E3" s="439"/>
      <c r="F3" s="439"/>
      <c r="G3" s="439"/>
      <c r="H3" s="440"/>
      <c r="I3" s="140"/>
      <c r="J3" s="140"/>
      <c r="K3" s="140"/>
      <c r="L3" s="140"/>
      <c r="M3" s="140"/>
      <c r="N3" s="140"/>
      <c r="O3" s="140"/>
      <c r="P3" s="113"/>
    </row>
    <row r="4" spans="1:16">
      <c r="A4" s="141"/>
      <c r="B4" s="142"/>
      <c r="C4" s="146"/>
      <c r="D4" s="146"/>
      <c r="E4" s="214"/>
      <c r="F4" s="215"/>
      <c r="G4" s="148"/>
      <c r="H4" s="145"/>
      <c r="I4" s="149"/>
      <c r="J4" s="149"/>
      <c r="K4" s="140"/>
      <c r="L4" s="149"/>
      <c r="M4" s="149"/>
      <c r="N4" s="140"/>
      <c r="O4" s="140"/>
      <c r="P4" s="113"/>
    </row>
    <row r="5" spans="1:16">
      <c r="A5" s="150" t="s">
        <v>68</v>
      </c>
      <c r="B5" s="147" t="s">
        <v>69</v>
      </c>
      <c r="C5" s="143">
        <f>6/11</f>
        <v>0.54545454545454541</v>
      </c>
      <c r="D5" s="143"/>
      <c r="E5" s="214"/>
      <c r="F5" s="214"/>
      <c r="G5" s="144">
        <f>8/11</f>
        <v>0.72727272727272729</v>
      </c>
      <c r="H5" s="145"/>
      <c r="I5" s="140"/>
      <c r="J5" s="140"/>
      <c r="K5" s="140"/>
      <c r="L5" s="140"/>
      <c r="M5" s="140"/>
      <c r="N5" s="140"/>
      <c r="O5" s="140"/>
      <c r="P5" s="113"/>
    </row>
    <row r="6" spans="1:16">
      <c r="A6" s="141"/>
      <c r="B6" s="147"/>
      <c r="C6" s="143"/>
      <c r="D6" s="143"/>
      <c r="E6" s="214"/>
      <c r="F6" s="214"/>
      <c r="G6" s="144"/>
      <c r="H6" s="145"/>
      <c r="I6" s="140"/>
      <c r="J6" s="140"/>
      <c r="K6" s="140"/>
      <c r="L6" s="140"/>
      <c r="M6" s="140"/>
      <c r="N6" s="140"/>
      <c r="O6" s="140"/>
      <c r="P6" s="113"/>
    </row>
    <row r="7" spans="1:16">
      <c r="A7" s="150" t="s">
        <v>70</v>
      </c>
      <c r="B7" s="147" t="s">
        <v>71</v>
      </c>
      <c r="C7" s="146">
        <f>5/8</f>
        <v>0.625</v>
      </c>
      <c r="D7" s="143"/>
      <c r="E7" s="214">
        <f>8/8</f>
        <v>1</v>
      </c>
      <c r="F7" s="214"/>
      <c r="G7" s="144">
        <f>5/8</f>
        <v>0.625</v>
      </c>
      <c r="H7" s="145"/>
      <c r="I7" s="140"/>
      <c r="J7" s="140"/>
      <c r="K7" s="140"/>
      <c r="L7" s="140"/>
      <c r="M7" s="140"/>
      <c r="N7" s="140"/>
      <c r="O7" s="140"/>
      <c r="P7" s="113"/>
    </row>
    <row r="8" spans="1:16">
      <c r="A8" s="150" t="s">
        <v>70</v>
      </c>
      <c r="B8" s="147" t="s">
        <v>72</v>
      </c>
      <c r="C8" s="143">
        <f>8/8</f>
        <v>1</v>
      </c>
      <c r="D8" s="143"/>
      <c r="E8" s="214">
        <f>2/8</f>
        <v>0.25</v>
      </c>
      <c r="F8" s="214"/>
      <c r="G8" s="144">
        <f>4/8</f>
        <v>0.5</v>
      </c>
      <c r="H8" s="145"/>
      <c r="I8" s="140"/>
      <c r="J8" s="140"/>
      <c r="K8" s="140"/>
      <c r="L8" s="140"/>
      <c r="M8" s="140"/>
      <c r="N8" s="140"/>
      <c r="O8" s="140"/>
      <c r="P8" s="113"/>
    </row>
    <row r="9" spans="1:16">
      <c r="A9" s="150" t="s">
        <v>73</v>
      </c>
      <c r="B9" s="147" t="s">
        <v>74</v>
      </c>
      <c r="C9" s="143"/>
      <c r="D9" s="143">
        <f>2/8</f>
        <v>0.25</v>
      </c>
      <c r="E9" s="214"/>
      <c r="F9" s="214">
        <f>2/8</f>
        <v>0.25</v>
      </c>
      <c r="G9" s="144"/>
      <c r="H9" s="145">
        <f>8/8</f>
        <v>1</v>
      </c>
      <c r="I9" s="140"/>
      <c r="J9" s="140"/>
      <c r="K9" s="140"/>
      <c r="L9" s="140"/>
      <c r="M9" s="140"/>
      <c r="N9" s="140"/>
      <c r="O9" s="140"/>
      <c r="P9" s="113"/>
    </row>
    <row r="10" spans="1:16">
      <c r="A10" s="150" t="s">
        <v>73</v>
      </c>
      <c r="B10" s="147" t="s">
        <v>75</v>
      </c>
      <c r="C10" s="143"/>
      <c r="D10" s="143">
        <f>5/8</f>
        <v>0.625</v>
      </c>
      <c r="E10" s="214"/>
      <c r="F10" s="214">
        <f>2/8</f>
        <v>0.25</v>
      </c>
      <c r="G10" s="144"/>
      <c r="H10" s="145">
        <f>7/8</f>
        <v>0.875</v>
      </c>
      <c r="I10" s="140"/>
      <c r="J10" s="140"/>
      <c r="K10" s="140"/>
      <c r="L10" s="140"/>
      <c r="M10" s="140"/>
      <c r="N10" s="140"/>
      <c r="O10" s="140"/>
      <c r="P10" s="113"/>
    </row>
    <row r="11" spans="1:16">
      <c r="A11" s="141"/>
      <c r="B11" s="147"/>
      <c r="C11" s="143"/>
      <c r="D11" s="143"/>
      <c r="E11" s="214"/>
      <c r="F11" s="214"/>
      <c r="G11" s="144"/>
      <c r="H11" s="145"/>
      <c r="I11" s="140"/>
      <c r="J11" s="140"/>
      <c r="K11" s="140"/>
      <c r="L11" s="140"/>
      <c r="M11" s="140"/>
      <c r="N11" s="140"/>
      <c r="O11" s="140"/>
      <c r="P11" s="113"/>
    </row>
    <row r="12" spans="1:16">
      <c r="A12" s="150" t="s">
        <v>76</v>
      </c>
      <c r="B12" s="147" t="s">
        <v>77</v>
      </c>
      <c r="C12" s="143">
        <f>6.5/9</f>
        <v>0.72222222222222221</v>
      </c>
      <c r="D12" s="143"/>
      <c r="E12" s="214">
        <f>4/9</f>
        <v>0.44444444444444442</v>
      </c>
      <c r="F12" s="214"/>
      <c r="G12" s="144">
        <f>8/9</f>
        <v>0.88888888888888884</v>
      </c>
      <c r="H12" s="145"/>
      <c r="I12" s="140"/>
      <c r="J12" s="140"/>
      <c r="K12" s="140"/>
      <c r="L12" s="140"/>
      <c r="M12" s="140"/>
      <c r="N12" s="140"/>
      <c r="O12" s="140"/>
      <c r="P12" s="113"/>
    </row>
    <row r="13" spans="1:16">
      <c r="A13" s="150" t="s">
        <v>76</v>
      </c>
      <c r="B13" s="147" t="s">
        <v>78</v>
      </c>
      <c r="C13" s="143">
        <f>7/9</f>
        <v>0.77777777777777779</v>
      </c>
      <c r="D13" s="143"/>
      <c r="E13" s="214">
        <f>4/9</f>
        <v>0.44444444444444442</v>
      </c>
      <c r="F13" s="214"/>
      <c r="G13" s="144">
        <f>6/9</f>
        <v>0.66666666666666663</v>
      </c>
      <c r="H13" s="145"/>
      <c r="I13" s="140"/>
      <c r="J13" s="140"/>
      <c r="K13" s="140"/>
      <c r="L13" s="140"/>
      <c r="M13" s="140"/>
      <c r="N13" s="140"/>
      <c r="O13" s="140"/>
      <c r="P13" s="113"/>
    </row>
    <row r="14" spans="1:16">
      <c r="A14" s="150" t="s">
        <v>76</v>
      </c>
      <c r="B14" s="147" t="s">
        <v>79</v>
      </c>
      <c r="C14" s="143">
        <f>7/9</f>
        <v>0.77777777777777779</v>
      </c>
      <c r="D14" s="143"/>
      <c r="E14" s="214"/>
      <c r="F14" s="214"/>
      <c r="G14" s="144">
        <f>6/9</f>
        <v>0.66666666666666663</v>
      </c>
      <c r="H14" s="145"/>
      <c r="I14" s="140"/>
      <c r="J14" s="140"/>
      <c r="K14" s="140"/>
      <c r="L14" s="140"/>
      <c r="M14" s="140"/>
      <c r="N14" s="140"/>
      <c r="O14" s="140"/>
      <c r="P14" s="113"/>
    </row>
    <row r="15" spans="1:16">
      <c r="A15" s="150" t="s">
        <v>76</v>
      </c>
      <c r="B15" s="147" t="s">
        <v>80</v>
      </c>
      <c r="C15" s="143">
        <f>7/9</f>
        <v>0.77777777777777779</v>
      </c>
      <c r="D15" s="143"/>
      <c r="E15" s="214">
        <f>2/9</f>
        <v>0.22222222222222221</v>
      </c>
      <c r="F15" s="214"/>
      <c r="G15" s="144">
        <f>6/9</f>
        <v>0.66666666666666663</v>
      </c>
      <c r="H15" s="145"/>
      <c r="I15" s="140"/>
      <c r="J15" s="140"/>
      <c r="K15" s="140"/>
      <c r="L15" s="140"/>
      <c r="M15" s="140"/>
      <c r="N15" s="140"/>
      <c r="O15" s="140"/>
      <c r="P15" s="113"/>
    </row>
    <row r="16" spans="1:16">
      <c r="A16" s="150" t="s">
        <v>81</v>
      </c>
      <c r="B16" s="147" t="s">
        <v>82</v>
      </c>
      <c r="C16" s="143"/>
      <c r="D16" s="143">
        <f>7.5/15</f>
        <v>0.5</v>
      </c>
      <c r="E16" s="214"/>
      <c r="F16" s="214">
        <f>1.5/15</f>
        <v>0.1</v>
      </c>
      <c r="G16" s="144"/>
      <c r="H16" s="145"/>
      <c r="I16" s="140"/>
      <c r="J16" s="140"/>
      <c r="K16" s="140"/>
      <c r="L16" s="140"/>
      <c r="M16" s="140"/>
      <c r="N16" s="140"/>
      <c r="O16" s="140"/>
      <c r="P16" s="113"/>
    </row>
    <row r="17" spans="1:16">
      <c r="A17" s="141"/>
      <c r="B17" s="147"/>
      <c r="C17" s="143"/>
      <c r="D17" s="143"/>
      <c r="E17" s="214"/>
      <c r="F17" s="214"/>
      <c r="G17" s="144"/>
      <c r="H17" s="145"/>
      <c r="I17" s="140"/>
      <c r="J17" s="140"/>
      <c r="K17" s="140"/>
      <c r="L17" s="140"/>
      <c r="M17" s="140"/>
      <c r="N17" s="140"/>
      <c r="O17" s="140"/>
      <c r="P17" s="113"/>
    </row>
    <row r="18" spans="1:16">
      <c r="A18" s="150" t="s">
        <v>68</v>
      </c>
      <c r="B18" s="147" t="s">
        <v>83</v>
      </c>
      <c r="C18" s="143">
        <f>2/11</f>
        <v>0.18181818181818182</v>
      </c>
      <c r="D18" s="143"/>
      <c r="E18" s="214">
        <f>4/11</f>
        <v>0.36363636363636365</v>
      </c>
      <c r="F18" s="214"/>
      <c r="G18" s="144">
        <f>11/11</f>
        <v>1</v>
      </c>
      <c r="H18" s="145"/>
      <c r="I18" s="140"/>
      <c r="J18" s="140"/>
      <c r="K18" s="140"/>
      <c r="L18" s="140"/>
      <c r="M18" s="140"/>
      <c r="N18" s="140"/>
      <c r="O18" s="140"/>
      <c r="P18" s="113"/>
    </row>
    <row r="19" spans="1:16">
      <c r="A19" s="150" t="s">
        <v>68</v>
      </c>
      <c r="B19" s="147" t="s">
        <v>84</v>
      </c>
      <c r="C19" s="143">
        <f>9/11</f>
        <v>0.81818181818181823</v>
      </c>
      <c r="D19" s="143"/>
      <c r="E19" s="214"/>
      <c r="F19" s="214"/>
      <c r="G19" s="144">
        <f>2/11</f>
        <v>0.18181818181818182</v>
      </c>
      <c r="H19" s="145"/>
      <c r="I19" s="140"/>
      <c r="J19" s="140"/>
      <c r="K19" s="140"/>
      <c r="L19" s="140"/>
      <c r="M19" s="140"/>
      <c r="N19" s="140"/>
      <c r="O19" s="140"/>
      <c r="P19" s="113"/>
    </row>
    <row r="20" spans="1:16">
      <c r="A20" s="150" t="s">
        <v>68</v>
      </c>
      <c r="B20" s="147" t="s">
        <v>85</v>
      </c>
      <c r="C20" s="143">
        <f>7/11</f>
        <v>0.63636363636363635</v>
      </c>
      <c r="D20" s="143"/>
      <c r="E20" s="214">
        <f>2/11</f>
        <v>0.18181818181818182</v>
      </c>
      <c r="F20" s="214"/>
      <c r="G20" s="144">
        <f>8/11</f>
        <v>0.72727272727272729</v>
      </c>
      <c r="H20" s="145"/>
      <c r="I20" s="140"/>
      <c r="J20" s="140"/>
      <c r="K20" s="140"/>
      <c r="L20" s="140"/>
      <c r="M20" s="140"/>
      <c r="N20" s="140"/>
      <c r="O20" s="140"/>
      <c r="P20" s="113"/>
    </row>
    <row r="21" spans="1:16">
      <c r="A21" s="150" t="s">
        <v>68</v>
      </c>
      <c r="B21" s="147" t="s">
        <v>86</v>
      </c>
      <c r="C21" s="143">
        <f>7/11</f>
        <v>0.63636363636363635</v>
      </c>
      <c r="D21" s="143"/>
      <c r="E21" s="214">
        <f>2/11</f>
        <v>0.18181818181818182</v>
      </c>
      <c r="F21" s="214"/>
      <c r="G21" s="144">
        <f>8/11</f>
        <v>0.72727272727272729</v>
      </c>
      <c r="H21" s="145"/>
      <c r="I21" s="140"/>
      <c r="J21" s="140"/>
      <c r="K21" s="140"/>
      <c r="L21" s="140"/>
      <c r="M21" s="140"/>
      <c r="N21" s="140"/>
      <c r="O21" s="140"/>
      <c r="P21" s="113"/>
    </row>
    <row r="22" spans="1:16">
      <c r="A22" s="150" t="s">
        <v>68</v>
      </c>
      <c r="B22" s="147" t="s">
        <v>87</v>
      </c>
      <c r="C22" s="143">
        <f>6.5/11</f>
        <v>0.59090909090909094</v>
      </c>
      <c r="D22" s="143"/>
      <c r="E22" s="214">
        <f>2/11</f>
        <v>0.18181818181818182</v>
      </c>
      <c r="F22" s="214"/>
      <c r="G22" s="144"/>
      <c r="H22" s="145"/>
      <c r="I22" s="140"/>
      <c r="J22" s="140"/>
      <c r="K22" s="140"/>
      <c r="L22" s="140"/>
      <c r="M22" s="140"/>
      <c r="N22" s="140"/>
      <c r="O22" s="140"/>
      <c r="P22" s="113"/>
    </row>
    <row r="23" spans="1:16">
      <c r="A23" s="150" t="s">
        <v>68</v>
      </c>
      <c r="B23" s="147" t="s">
        <v>88</v>
      </c>
      <c r="C23" s="143">
        <f>8/11</f>
        <v>0.72727272727272729</v>
      </c>
      <c r="D23" s="143"/>
      <c r="E23" s="214">
        <f>3/11</f>
        <v>0.27272727272727271</v>
      </c>
      <c r="F23" s="214"/>
      <c r="G23" s="144"/>
      <c r="H23" s="145"/>
      <c r="I23" s="140"/>
      <c r="J23" s="140"/>
      <c r="K23" s="140"/>
      <c r="L23" s="140"/>
      <c r="M23" s="140"/>
      <c r="N23" s="140"/>
      <c r="O23" s="140"/>
      <c r="P23" s="113"/>
    </row>
    <row r="24" spans="1:16">
      <c r="A24" s="150" t="s">
        <v>68</v>
      </c>
      <c r="B24" s="147" t="s">
        <v>89</v>
      </c>
      <c r="C24" s="143">
        <f>8/11</f>
        <v>0.72727272727272729</v>
      </c>
      <c r="D24" s="143"/>
      <c r="E24" s="214">
        <f>2/11</f>
        <v>0.18181818181818182</v>
      </c>
      <c r="F24" s="214"/>
      <c r="G24" s="144">
        <f>5/11</f>
        <v>0.45454545454545453</v>
      </c>
      <c r="H24" s="145"/>
      <c r="I24" s="140"/>
      <c r="J24" s="140"/>
      <c r="K24" s="140"/>
      <c r="L24" s="140"/>
      <c r="M24" s="140"/>
      <c r="N24" s="140"/>
      <c r="O24" s="140"/>
      <c r="P24" s="113"/>
    </row>
    <row r="25" spans="1:16">
      <c r="A25" s="150" t="s">
        <v>68</v>
      </c>
      <c r="B25" s="147" t="s">
        <v>90</v>
      </c>
      <c r="C25" s="143">
        <f>7/11</f>
        <v>0.63636363636363635</v>
      </c>
      <c r="D25" s="143"/>
      <c r="E25" s="214">
        <f>4/11</f>
        <v>0.36363636363636365</v>
      </c>
      <c r="F25" s="214"/>
      <c r="G25" s="144">
        <f>8/11</f>
        <v>0.72727272727272729</v>
      </c>
      <c r="H25" s="145"/>
      <c r="I25" s="140"/>
      <c r="J25" s="140"/>
      <c r="K25" s="140"/>
      <c r="L25" s="140"/>
      <c r="M25" s="140"/>
      <c r="N25" s="140"/>
      <c r="O25" s="140"/>
      <c r="P25" s="113"/>
    </row>
    <row r="26" spans="1:16">
      <c r="A26" s="150" t="s">
        <v>68</v>
      </c>
      <c r="B26" s="147" t="s">
        <v>91</v>
      </c>
      <c r="C26" s="143">
        <f>4/11</f>
        <v>0.36363636363636365</v>
      </c>
      <c r="D26" s="143"/>
      <c r="E26" s="214">
        <f>3/11</f>
        <v>0.27272727272727271</v>
      </c>
      <c r="F26" s="214"/>
      <c r="G26" s="144">
        <f>4/11</f>
        <v>0.36363636363636365</v>
      </c>
      <c r="H26" s="145"/>
      <c r="I26" s="140"/>
      <c r="J26" s="140"/>
      <c r="K26" s="140"/>
      <c r="L26" s="140"/>
      <c r="M26" s="140"/>
      <c r="N26" s="140"/>
      <c r="O26" s="140"/>
      <c r="P26" s="113"/>
    </row>
    <row r="27" spans="1:16">
      <c r="A27" s="150" t="s">
        <v>68</v>
      </c>
      <c r="B27" s="147" t="s">
        <v>92</v>
      </c>
      <c r="C27" s="143">
        <f>4/11</f>
        <v>0.36363636363636365</v>
      </c>
      <c r="D27" s="143"/>
      <c r="E27" s="214">
        <f>3/11</f>
        <v>0.27272727272727271</v>
      </c>
      <c r="F27" s="214"/>
      <c r="G27" s="144">
        <f>8/11</f>
        <v>0.72727272727272729</v>
      </c>
      <c r="H27" s="145"/>
      <c r="I27" s="140"/>
      <c r="J27" s="140"/>
      <c r="K27" s="140"/>
      <c r="L27" s="140"/>
      <c r="M27" s="140"/>
      <c r="N27" s="140"/>
      <c r="O27" s="140"/>
      <c r="P27" s="113"/>
    </row>
    <row r="28" spans="1:16">
      <c r="A28" s="150" t="s">
        <v>68</v>
      </c>
      <c r="B28" s="147" t="s">
        <v>93</v>
      </c>
      <c r="C28" s="143">
        <f>4/11</f>
        <v>0.36363636363636365</v>
      </c>
      <c r="D28" s="143"/>
      <c r="E28" s="214">
        <f>5/11</f>
        <v>0.45454545454545453</v>
      </c>
      <c r="F28" s="214"/>
      <c r="G28" s="144">
        <f>4/11</f>
        <v>0.36363636363636365</v>
      </c>
      <c r="H28" s="145"/>
      <c r="I28" s="140"/>
      <c r="J28" s="140"/>
      <c r="K28" s="140"/>
      <c r="L28" s="140"/>
      <c r="M28" s="140"/>
      <c r="N28" s="140"/>
      <c r="O28" s="140"/>
      <c r="P28" s="113"/>
    </row>
    <row r="29" spans="1:16">
      <c r="A29" s="150" t="s">
        <v>68</v>
      </c>
      <c r="B29" s="147" t="s">
        <v>227</v>
      </c>
      <c r="C29" s="143"/>
      <c r="D29" s="143"/>
      <c r="E29" s="214">
        <f>11.5/11.5</f>
        <v>1</v>
      </c>
      <c r="F29" s="214"/>
      <c r="G29" s="144"/>
      <c r="H29" s="145"/>
      <c r="I29" s="140"/>
      <c r="J29" s="140"/>
      <c r="K29" s="140"/>
      <c r="L29" s="140"/>
      <c r="M29" s="140"/>
      <c r="N29" s="140"/>
      <c r="O29" s="140"/>
      <c r="P29" s="113"/>
    </row>
    <row r="30" spans="1:16">
      <c r="A30" s="150" t="s">
        <v>68</v>
      </c>
      <c r="B30" s="147" t="s">
        <v>228</v>
      </c>
      <c r="C30" s="143"/>
      <c r="D30" s="143"/>
      <c r="E30" s="214">
        <f>10.5/10.5</f>
        <v>1</v>
      </c>
      <c r="F30" s="214"/>
      <c r="G30" s="144"/>
      <c r="H30" s="145"/>
      <c r="I30" s="140"/>
      <c r="J30" s="140"/>
      <c r="K30" s="140"/>
      <c r="L30" s="140"/>
      <c r="M30" s="140"/>
      <c r="N30" s="140"/>
      <c r="O30" s="140"/>
      <c r="P30" s="113"/>
    </row>
    <row r="31" spans="1:16">
      <c r="A31" s="150" t="s">
        <v>94</v>
      </c>
      <c r="B31" s="147" t="s">
        <v>95</v>
      </c>
      <c r="C31" s="143"/>
      <c r="D31" s="143">
        <f>4/16</f>
        <v>0.25</v>
      </c>
      <c r="E31" s="214"/>
      <c r="F31" s="214">
        <f>6/16</f>
        <v>0.375</v>
      </c>
      <c r="G31" s="144"/>
      <c r="H31" s="145">
        <f>1/16</f>
        <v>6.25E-2</v>
      </c>
      <c r="I31" s="140"/>
      <c r="J31" s="140"/>
      <c r="K31" s="140"/>
      <c r="L31" s="140"/>
      <c r="M31" s="140"/>
      <c r="N31" s="140"/>
      <c r="O31" s="140"/>
      <c r="P31" s="113"/>
    </row>
    <row r="32" spans="1:16">
      <c r="A32" s="150" t="s">
        <v>94</v>
      </c>
      <c r="B32" s="147" t="s">
        <v>96</v>
      </c>
      <c r="C32" s="143"/>
      <c r="D32" s="143">
        <f>2.5/16</f>
        <v>0.15625</v>
      </c>
      <c r="E32" s="214"/>
      <c r="F32" s="214">
        <f>3/16</f>
        <v>0.1875</v>
      </c>
      <c r="G32" s="144"/>
      <c r="H32" s="145">
        <f>6/16</f>
        <v>0.375</v>
      </c>
      <c r="I32" s="140"/>
      <c r="J32" s="140"/>
      <c r="K32" s="140"/>
      <c r="L32" s="140"/>
      <c r="M32" s="140"/>
      <c r="N32" s="140"/>
      <c r="O32" s="140"/>
      <c r="P32" s="113"/>
    </row>
    <row r="33" spans="1:16">
      <c r="A33" s="150" t="s">
        <v>94</v>
      </c>
      <c r="B33" s="147" t="s">
        <v>97</v>
      </c>
      <c r="C33" s="143"/>
      <c r="D33" s="143">
        <f>5/16</f>
        <v>0.3125</v>
      </c>
      <c r="E33" s="214"/>
      <c r="F33" s="214">
        <f>7/16</f>
        <v>0.4375</v>
      </c>
      <c r="G33" s="144"/>
      <c r="H33" s="145">
        <f>1/16</f>
        <v>6.25E-2</v>
      </c>
      <c r="I33" s="140"/>
      <c r="J33" s="140"/>
      <c r="K33" s="140"/>
      <c r="L33" s="140"/>
      <c r="M33" s="140"/>
      <c r="N33" s="140"/>
      <c r="O33" s="140"/>
      <c r="P33" s="113"/>
    </row>
    <row r="34" spans="1:16">
      <c r="A34" s="141"/>
      <c r="B34" s="142"/>
      <c r="C34" s="143"/>
      <c r="D34" s="143"/>
      <c r="E34" s="214"/>
      <c r="F34" s="214"/>
      <c r="G34" s="144"/>
      <c r="H34" s="145"/>
      <c r="I34" s="140"/>
      <c r="J34" s="140"/>
      <c r="K34" s="140"/>
      <c r="L34" s="140"/>
      <c r="M34" s="140"/>
      <c r="N34" s="140"/>
      <c r="O34" s="140"/>
      <c r="P34" s="113"/>
    </row>
    <row r="35" spans="1:16">
      <c r="A35" s="150" t="s">
        <v>98</v>
      </c>
      <c r="B35" s="147" t="s">
        <v>99</v>
      </c>
      <c r="C35" s="143"/>
      <c r="D35" s="143">
        <f>2/12</f>
        <v>0.16666666666666666</v>
      </c>
      <c r="E35" s="214"/>
      <c r="F35" s="214">
        <f>4.5/12</f>
        <v>0.375</v>
      </c>
      <c r="G35" s="144"/>
      <c r="H35" s="145">
        <f>4/12</f>
        <v>0.33333333333333331</v>
      </c>
      <c r="I35" s="140"/>
      <c r="J35" s="140"/>
      <c r="K35" s="140"/>
      <c r="L35" s="140"/>
      <c r="M35" s="140"/>
      <c r="N35" s="140"/>
      <c r="O35" s="140"/>
      <c r="P35" s="113"/>
    </row>
    <row r="36" spans="1:16">
      <c r="A36" s="150" t="s">
        <v>98</v>
      </c>
      <c r="B36" s="147" t="s">
        <v>100</v>
      </c>
      <c r="C36" s="143"/>
      <c r="D36" s="143">
        <f>3/11.5</f>
        <v>0.2608695652173913</v>
      </c>
      <c r="E36" s="214"/>
      <c r="F36" s="214">
        <f>2.5/11.5</f>
        <v>0.21739130434782608</v>
      </c>
      <c r="G36" s="144"/>
      <c r="H36" s="145">
        <f>4/11.5</f>
        <v>0.34782608695652173</v>
      </c>
      <c r="I36" s="140"/>
      <c r="J36" s="140"/>
      <c r="K36" s="140"/>
      <c r="L36" s="140"/>
      <c r="M36" s="140"/>
      <c r="N36" s="140"/>
      <c r="O36" s="140"/>
      <c r="P36" s="113"/>
    </row>
    <row r="37" spans="1:16">
      <c r="A37" s="150" t="s">
        <v>98</v>
      </c>
      <c r="B37" s="147" t="s">
        <v>101</v>
      </c>
      <c r="C37" s="143"/>
      <c r="D37" s="143">
        <f>5.5/16</f>
        <v>0.34375</v>
      </c>
      <c r="E37" s="214"/>
      <c r="F37" s="214">
        <f>2/16</f>
        <v>0.125</v>
      </c>
      <c r="G37" s="144"/>
      <c r="H37" s="145">
        <f>2.5/16</f>
        <v>0.15625</v>
      </c>
      <c r="I37" s="140"/>
      <c r="J37" s="140"/>
      <c r="K37" s="140"/>
      <c r="L37" s="140"/>
      <c r="M37" s="140"/>
      <c r="N37" s="140"/>
      <c r="O37" s="140"/>
      <c r="P37" s="113"/>
    </row>
    <row r="38" spans="1:16">
      <c r="A38" s="150" t="s">
        <v>98</v>
      </c>
      <c r="B38" s="147" t="s">
        <v>102</v>
      </c>
      <c r="C38" s="143"/>
      <c r="D38" s="143"/>
      <c r="E38" s="214"/>
      <c r="F38" s="214">
        <f>2/12.5</f>
        <v>0.16</v>
      </c>
      <c r="G38" s="144"/>
      <c r="H38" s="145"/>
      <c r="I38" s="140"/>
      <c r="J38" s="140"/>
      <c r="K38" s="140"/>
      <c r="L38" s="140"/>
      <c r="M38" s="140"/>
      <c r="N38" s="140"/>
      <c r="O38" s="140"/>
      <c r="P38" s="113"/>
    </row>
    <row r="39" spans="1:16">
      <c r="A39" s="150"/>
      <c r="B39" s="147"/>
      <c r="C39" s="143"/>
      <c r="D39" s="143"/>
      <c r="E39" s="214"/>
      <c r="F39" s="214"/>
      <c r="G39" s="144"/>
      <c r="H39" s="145"/>
      <c r="I39" s="140"/>
      <c r="J39" s="151">
        <f t="shared" ref="J39:O39" si="0">SUM(C5:C39)</f>
        <v>11.271464646464645</v>
      </c>
      <c r="K39" s="151">
        <f t="shared" si="0"/>
        <v>2.8650362318840576</v>
      </c>
      <c r="L39" s="140">
        <f>SUM(E5:E39)</f>
        <v>7.0883838383838365</v>
      </c>
      <c r="M39" s="140">
        <f>SUM(F5:F39)</f>
        <v>2.4773913043478264</v>
      </c>
      <c r="N39" s="152">
        <f t="shared" si="0"/>
        <v>10.013888888888888</v>
      </c>
      <c r="O39" s="152">
        <f t="shared" si="0"/>
        <v>3.2124094202898554</v>
      </c>
      <c r="P39" s="113"/>
    </row>
    <row r="40" spans="1:16">
      <c r="A40" s="141"/>
      <c r="B40" s="142"/>
      <c r="C40" s="143"/>
      <c r="D40" s="143"/>
      <c r="E40" s="214"/>
      <c r="F40" s="214"/>
      <c r="G40" s="144"/>
      <c r="H40" s="145"/>
      <c r="I40" s="140"/>
      <c r="J40" s="151"/>
      <c r="K40" s="151"/>
      <c r="L40" s="140"/>
      <c r="M40" s="140"/>
      <c r="N40" s="152"/>
      <c r="O40" s="152"/>
      <c r="P40" s="113"/>
    </row>
    <row r="41" spans="1:16">
      <c r="A41" s="141"/>
      <c r="B41" s="142"/>
      <c r="C41" s="143"/>
      <c r="D41" s="143"/>
      <c r="E41" s="214"/>
      <c r="F41" s="214"/>
      <c r="G41" s="144"/>
      <c r="H41" s="145"/>
      <c r="I41" s="140"/>
      <c r="J41" s="202">
        <f>J39/(J39+K39)</f>
        <v>0.79733059428644659</v>
      </c>
      <c r="K41" s="202"/>
      <c r="L41" s="202">
        <f>L39/(L39+M39)</f>
        <v>0.74101510150693684</v>
      </c>
      <c r="M41" s="202"/>
      <c r="N41" s="202">
        <f>N39/(N39+O39)</f>
        <v>0.75711953978381707</v>
      </c>
      <c r="O41" s="203"/>
      <c r="P41" s="113"/>
    </row>
    <row r="42" spans="1:16">
      <c r="A42" s="438" t="s">
        <v>201</v>
      </c>
      <c r="B42" s="439"/>
      <c r="C42" s="439"/>
      <c r="D42" s="439"/>
      <c r="E42" s="439"/>
      <c r="F42" s="439"/>
      <c r="G42" s="439"/>
      <c r="H42" s="440"/>
      <c r="I42" s="140"/>
      <c r="J42" s="151"/>
      <c r="K42" s="151"/>
      <c r="L42" s="140"/>
      <c r="M42" s="140"/>
      <c r="N42" s="152"/>
      <c r="O42" s="152"/>
      <c r="P42" s="113"/>
    </row>
    <row r="43" spans="1:16">
      <c r="A43" s="153"/>
      <c r="B43" s="154" t="s">
        <v>103</v>
      </c>
      <c r="C43" s="155">
        <f>2/8</f>
        <v>0.25</v>
      </c>
      <c r="D43" s="155"/>
      <c r="E43" s="216">
        <f>4/8</f>
        <v>0.5</v>
      </c>
      <c r="F43" s="216"/>
      <c r="G43" s="156">
        <f>6/8</f>
        <v>0.75</v>
      </c>
      <c r="H43" s="157"/>
      <c r="I43" s="158"/>
      <c r="J43" s="159"/>
      <c r="K43" s="159"/>
      <c r="L43" s="158"/>
      <c r="M43" s="158"/>
      <c r="N43" s="160"/>
      <c r="O43" s="160"/>
      <c r="P43" s="113"/>
    </row>
    <row r="44" spans="1:16">
      <c r="A44" s="141"/>
      <c r="B44" s="154"/>
      <c r="C44" s="155"/>
      <c r="D44" s="155"/>
      <c r="E44" s="216"/>
      <c r="F44" s="216"/>
      <c r="G44" s="156"/>
      <c r="H44" s="157"/>
      <c r="I44" s="158"/>
      <c r="J44" s="159"/>
      <c r="K44" s="159"/>
      <c r="L44" s="158"/>
      <c r="M44" s="158"/>
      <c r="N44" s="160"/>
      <c r="O44" s="160"/>
      <c r="P44" s="113"/>
    </row>
    <row r="45" spans="1:16">
      <c r="A45" s="141"/>
      <c r="B45" s="154" t="s">
        <v>104</v>
      </c>
      <c r="C45" s="155">
        <f>4/9</f>
        <v>0.44444444444444442</v>
      </c>
      <c r="D45" s="155"/>
      <c r="E45" s="216"/>
      <c r="F45" s="216"/>
      <c r="G45" s="156">
        <f>3/9</f>
        <v>0.33333333333333331</v>
      </c>
      <c r="H45" s="157"/>
      <c r="I45" s="158"/>
      <c r="J45" s="159"/>
      <c r="K45" s="159"/>
      <c r="L45" s="158"/>
      <c r="M45" s="158"/>
      <c r="N45" s="160"/>
      <c r="O45" s="160"/>
      <c r="P45" s="113"/>
    </row>
    <row r="46" spans="1:16">
      <c r="A46" s="141"/>
      <c r="B46" s="154" t="s">
        <v>105</v>
      </c>
      <c r="C46" s="155">
        <f>2/9</f>
        <v>0.22222222222222221</v>
      </c>
      <c r="D46" s="155"/>
      <c r="E46" s="216">
        <f>2/9</f>
        <v>0.22222222222222221</v>
      </c>
      <c r="F46" s="216"/>
      <c r="G46" s="156">
        <f>2/9</f>
        <v>0.22222222222222221</v>
      </c>
      <c r="H46" s="157"/>
      <c r="I46" s="158"/>
      <c r="J46" s="159"/>
      <c r="K46" s="159"/>
      <c r="L46" s="158"/>
      <c r="M46" s="158"/>
      <c r="N46" s="160"/>
      <c r="O46" s="160"/>
      <c r="P46" s="113"/>
    </row>
    <row r="47" spans="1:16">
      <c r="A47" s="141"/>
      <c r="B47" s="154" t="s">
        <v>106</v>
      </c>
      <c r="C47" s="155">
        <f>2/9</f>
        <v>0.22222222222222221</v>
      </c>
      <c r="D47" s="155"/>
      <c r="E47" s="216">
        <f>2/9</f>
        <v>0.22222222222222221</v>
      </c>
      <c r="F47" s="216"/>
      <c r="G47" s="156">
        <f>2/9</f>
        <v>0.22222222222222221</v>
      </c>
      <c r="H47" s="157"/>
      <c r="I47" s="158"/>
      <c r="J47" s="159"/>
      <c r="K47" s="159"/>
      <c r="L47" s="158"/>
      <c r="M47" s="158"/>
      <c r="N47" s="160"/>
      <c r="O47" s="160"/>
      <c r="P47" s="113"/>
    </row>
    <row r="48" spans="1:16">
      <c r="A48" s="141"/>
      <c r="B48" s="154"/>
      <c r="C48" s="155"/>
      <c r="D48" s="155"/>
      <c r="E48" s="216"/>
      <c r="F48" s="216"/>
      <c r="G48" s="156"/>
      <c r="H48" s="157"/>
      <c r="I48" s="158"/>
      <c r="J48" s="159"/>
      <c r="K48" s="159"/>
      <c r="L48" s="158"/>
      <c r="M48" s="158"/>
      <c r="N48" s="160"/>
      <c r="O48" s="160"/>
      <c r="P48" s="113"/>
    </row>
    <row r="49" spans="1:16">
      <c r="A49" s="141"/>
      <c r="B49" s="154" t="s">
        <v>107</v>
      </c>
      <c r="C49" s="155">
        <f>2/11</f>
        <v>0.18181818181818182</v>
      </c>
      <c r="D49" s="155"/>
      <c r="E49" s="216">
        <f>4/11</f>
        <v>0.36363636363636365</v>
      </c>
      <c r="F49" s="216"/>
      <c r="G49" s="156">
        <f>11/11</f>
        <v>1</v>
      </c>
      <c r="H49" s="157"/>
      <c r="I49" s="158"/>
      <c r="J49" s="159"/>
      <c r="K49" s="159"/>
      <c r="L49" s="158"/>
      <c r="M49" s="158"/>
      <c r="N49" s="160"/>
      <c r="O49" s="160"/>
      <c r="P49" s="113"/>
    </row>
    <row r="50" spans="1:16">
      <c r="A50" s="141"/>
      <c r="B50" s="154" t="s">
        <v>108</v>
      </c>
      <c r="C50" s="155"/>
      <c r="D50" s="155"/>
      <c r="E50" s="216">
        <f>1/11</f>
        <v>9.0909090909090912E-2</v>
      </c>
      <c r="F50" s="216"/>
      <c r="G50" s="156">
        <f>2/11</f>
        <v>0.18181818181818182</v>
      </c>
      <c r="H50" s="157"/>
      <c r="I50" s="158"/>
      <c r="J50" s="159"/>
      <c r="K50" s="159"/>
      <c r="L50" s="158"/>
      <c r="M50" s="158"/>
      <c r="N50" s="160"/>
      <c r="O50" s="160"/>
      <c r="P50" s="113"/>
    </row>
    <row r="51" spans="1:16">
      <c r="A51" s="141"/>
      <c r="B51" s="154" t="s">
        <v>109</v>
      </c>
      <c r="C51" s="155"/>
      <c r="D51" s="155"/>
      <c r="E51" s="216">
        <f>4/11</f>
        <v>0.36363636363636365</v>
      </c>
      <c r="F51" s="216"/>
      <c r="G51" s="156">
        <f>6/11</f>
        <v>0.54545454545454541</v>
      </c>
      <c r="H51" s="157"/>
      <c r="I51" s="158"/>
      <c r="J51" s="159"/>
      <c r="K51" s="159"/>
      <c r="L51" s="158"/>
      <c r="M51" s="158"/>
      <c r="N51" s="160"/>
      <c r="O51" s="160"/>
      <c r="P51" s="113"/>
    </row>
    <row r="52" spans="1:16">
      <c r="A52" s="141"/>
      <c r="B52" s="154" t="s">
        <v>110</v>
      </c>
      <c r="C52" s="155">
        <f>5.5/16</f>
        <v>0.34375</v>
      </c>
      <c r="D52" s="155"/>
      <c r="E52" s="216">
        <f>6/16</f>
        <v>0.375</v>
      </c>
      <c r="F52" s="216"/>
      <c r="G52" s="156">
        <f>4.5/16</f>
        <v>0.28125</v>
      </c>
      <c r="H52" s="157"/>
      <c r="I52" s="158"/>
      <c r="J52" s="159"/>
      <c r="K52" s="159"/>
      <c r="L52" s="158"/>
      <c r="M52" s="158"/>
      <c r="N52" s="160"/>
      <c r="O52" s="160"/>
      <c r="P52" s="113"/>
    </row>
    <row r="53" spans="1:16">
      <c r="A53" s="141"/>
      <c r="B53" s="154" t="s">
        <v>74</v>
      </c>
      <c r="C53" s="155"/>
      <c r="D53" s="155">
        <f>2/11</f>
        <v>0.18181818181818182</v>
      </c>
      <c r="E53" s="216"/>
      <c r="F53" s="216"/>
      <c r="G53" s="156"/>
      <c r="H53" s="157"/>
      <c r="I53" s="158"/>
      <c r="J53" s="159"/>
      <c r="K53" s="159"/>
      <c r="L53" s="158"/>
      <c r="M53" s="158"/>
      <c r="N53" s="160"/>
      <c r="O53" s="160"/>
      <c r="P53" s="113"/>
    </row>
    <row r="54" spans="1:16">
      <c r="A54" s="141"/>
      <c r="B54" s="154" t="s">
        <v>75</v>
      </c>
      <c r="C54" s="155"/>
      <c r="D54" s="155">
        <f>2/11</f>
        <v>0.18181818181818182</v>
      </c>
      <c r="E54" s="216"/>
      <c r="F54" s="216">
        <f>2/11</f>
        <v>0.18181818181818182</v>
      </c>
      <c r="G54" s="156"/>
      <c r="H54" s="157">
        <f>8/11</f>
        <v>0.72727272727272729</v>
      </c>
      <c r="I54" s="158"/>
      <c r="J54" s="159"/>
      <c r="K54" s="159"/>
      <c r="L54" s="158"/>
      <c r="M54" s="158"/>
      <c r="N54" s="160"/>
      <c r="O54" s="160"/>
      <c r="P54" s="113"/>
    </row>
    <row r="55" spans="1:16">
      <c r="A55" s="141"/>
      <c r="B55" s="154" t="s">
        <v>82</v>
      </c>
      <c r="C55" s="155"/>
      <c r="D55" s="155">
        <f>3/14.5</f>
        <v>0.20689655172413793</v>
      </c>
      <c r="E55" s="216"/>
      <c r="F55" s="216">
        <f>3/14.5</f>
        <v>0.20689655172413793</v>
      </c>
      <c r="G55" s="156"/>
      <c r="H55" s="157">
        <f>8/14.5</f>
        <v>0.55172413793103448</v>
      </c>
      <c r="I55" s="158"/>
      <c r="J55" s="159"/>
      <c r="K55" s="159"/>
      <c r="L55" s="158"/>
      <c r="M55" s="158"/>
      <c r="N55" s="160"/>
      <c r="O55" s="160"/>
      <c r="P55" s="113"/>
    </row>
    <row r="56" spans="1:16">
      <c r="A56" s="141"/>
      <c r="B56" s="154" t="s">
        <v>95</v>
      </c>
      <c r="C56" s="155"/>
      <c r="D56" s="155"/>
      <c r="E56" s="216"/>
      <c r="F56" s="216">
        <f>9/16</f>
        <v>0.5625</v>
      </c>
      <c r="G56" s="156"/>
      <c r="H56" s="157">
        <f>2/16</f>
        <v>0.125</v>
      </c>
      <c r="I56" s="158"/>
      <c r="J56" s="159"/>
      <c r="K56" s="159"/>
      <c r="L56" s="158"/>
      <c r="M56" s="158"/>
      <c r="N56" s="160"/>
      <c r="O56" s="160"/>
      <c r="P56" s="113"/>
    </row>
    <row r="57" spans="1:16">
      <c r="A57" s="141"/>
      <c r="B57" s="154"/>
      <c r="C57" s="155"/>
      <c r="D57" s="155"/>
      <c r="E57" s="216"/>
      <c r="F57" s="216"/>
      <c r="G57" s="156"/>
      <c r="H57" s="157"/>
      <c r="I57" s="158"/>
      <c r="J57" s="159"/>
      <c r="K57" s="159"/>
      <c r="L57" s="158"/>
      <c r="M57" s="158"/>
      <c r="N57" s="160"/>
      <c r="O57" s="160"/>
      <c r="P57" s="113"/>
    </row>
    <row r="58" spans="1:16">
      <c r="A58" s="141"/>
      <c r="B58" s="154" t="s">
        <v>111</v>
      </c>
      <c r="C58" s="155">
        <f>1/12</f>
        <v>8.3333333333333329E-2</v>
      </c>
      <c r="D58" s="155"/>
      <c r="E58" s="216">
        <f>1/12</f>
        <v>8.3333333333333329E-2</v>
      </c>
      <c r="F58" s="216"/>
      <c r="G58" s="156">
        <f>2/12</f>
        <v>0.16666666666666666</v>
      </c>
      <c r="H58" s="157"/>
      <c r="I58" s="158"/>
      <c r="J58" s="159"/>
      <c r="K58" s="159"/>
      <c r="L58" s="158"/>
      <c r="M58" s="158"/>
      <c r="N58" s="160"/>
      <c r="O58" s="160"/>
      <c r="P58" s="113"/>
    </row>
    <row r="59" spans="1:16">
      <c r="A59" s="141"/>
      <c r="B59" s="154" t="s">
        <v>112</v>
      </c>
      <c r="C59" s="155">
        <f>2/12</f>
        <v>0.16666666666666666</v>
      </c>
      <c r="D59" s="155"/>
      <c r="E59" s="216">
        <f>1/12</f>
        <v>8.3333333333333329E-2</v>
      </c>
      <c r="F59" s="216"/>
      <c r="G59" s="156">
        <f>4/12</f>
        <v>0.33333333333333331</v>
      </c>
      <c r="H59" s="157"/>
      <c r="I59" s="158"/>
      <c r="J59" s="159"/>
      <c r="K59" s="159"/>
      <c r="L59" s="158"/>
      <c r="M59" s="158"/>
      <c r="N59" s="160"/>
      <c r="O59" s="160"/>
      <c r="P59" s="113"/>
    </row>
    <row r="60" spans="1:16">
      <c r="A60" s="141"/>
      <c r="B60" s="154" t="s">
        <v>113</v>
      </c>
      <c r="C60" s="155">
        <f>2/12</f>
        <v>0.16666666666666666</v>
      </c>
      <c r="D60" s="155"/>
      <c r="E60" s="216">
        <f>1/12</f>
        <v>8.3333333333333329E-2</v>
      </c>
      <c r="F60" s="216"/>
      <c r="G60" s="156">
        <f>3/12</f>
        <v>0.25</v>
      </c>
      <c r="H60" s="157"/>
      <c r="I60" s="158"/>
      <c r="J60" s="159"/>
      <c r="K60" s="159"/>
      <c r="L60" s="158"/>
      <c r="M60" s="158"/>
      <c r="N60" s="160"/>
      <c r="O60" s="160"/>
      <c r="P60" s="113"/>
    </row>
    <row r="61" spans="1:16">
      <c r="A61" s="141"/>
      <c r="B61" s="154" t="s">
        <v>114</v>
      </c>
      <c r="C61" s="155">
        <f>1/12</f>
        <v>8.3333333333333329E-2</v>
      </c>
      <c r="D61" s="155"/>
      <c r="E61" s="216">
        <f>1/12</f>
        <v>8.3333333333333329E-2</v>
      </c>
      <c r="F61" s="216"/>
      <c r="G61" s="156">
        <f>4/12</f>
        <v>0.33333333333333331</v>
      </c>
      <c r="H61" s="157"/>
      <c r="I61" s="158"/>
      <c r="J61" s="159"/>
      <c r="K61" s="159"/>
      <c r="L61" s="158"/>
      <c r="M61" s="158"/>
      <c r="N61" s="160"/>
      <c r="O61" s="160"/>
      <c r="P61" s="113"/>
    </row>
    <row r="62" spans="1:16">
      <c r="A62" s="141"/>
      <c r="B62" s="154" t="s">
        <v>115</v>
      </c>
      <c r="C62" s="155"/>
      <c r="D62" s="155">
        <f>2/12</f>
        <v>0.16666666666666666</v>
      </c>
      <c r="E62" s="216"/>
      <c r="F62" s="216"/>
      <c r="G62" s="156"/>
      <c r="H62" s="157">
        <f>4/12</f>
        <v>0.33333333333333331</v>
      </c>
      <c r="I62" s="158"/>
      <c r="J62" s="159"/>
      <c r="K62" s="159"/>
      <c r="L62" s="158"/>
      <c r="M62" s="158"/>
      <c r="N62" s="160"/>
      <c r="O62" s="160"/>
      <c r="P62" s="113"/>
    </row>
    <row r="63" spans="1:16">
      <c r="A63" s="141"/>
      <c r="B63" s="154" t="s">
        <v>74</v>
      </c>
      <c r="C63" s="155"/>
      <c r="D63" s="155">
        <f>2/12</f>
        <v>0.16666666666666666</v>
      </c>
      <c r="E63" s="216"/>
      <c r="F63" s="216">
        <f>2/12</f>
        <v>0.16666666666666666</v>
      </c>
      <c r="G63" s="156"/>
      <c r="H63" s="157">
        <f>1/12</f>
        <v>8.3333333333333329E-2</v>
      </c>
      <c r="I63" s="158"/>
      <c r="J63" s="159">
        <f t="shared" ref="J63:O63" si="1">SUM(C5:C64)</f>
        <v>13.435921717171714</v>
      </c>
      <c r="K63" s="159">
        <f t="shared" si="1"/>
        <v>3.7689024805778919</v>
      </c>
      <c r="L63" s="158">
        <f t="shared" si="1"/>
        <v>9.5593434343434343</v>
      </c>
      <c r="M63" s="158">
        <f t="shared" si="1"/>
        <v>3.5952727045568125</v>
      </c>
      <c r="N63" s="160">
        <f t="shared" si="1"/>
        <v>14.633522727272725</v>
      </c>
      <c r="O63" s="160">
        <f t="shared" si="1"/>
        <v>5.0330729521602837</v>
      </c>
      <c r="P63" s="113"/>
    </row>
    <row r="64" spans="1:16">
      <c r="A64" s="141"/>
      <c r="B64" s="154"/>
      <c r="C64" s="155"/>
      <c r="D64" s="155"/>
      <c r="E64" s="216"/>
      <c r="F64" s="216"/>
      <c r="G64" s="156"/>
      <c r="H64" s="157"/>
      <c r="I64" s="199"/>
      <c r="J64" s="200">
        <f>J63/(K63+J63)</f>
        <v>0.78093920418722651</v>
      </c>
      <c r="K64" s="200"/>
      <c r="L64" s="200">
        <f>L63/(L63+M63)</f>
        <v>0.72669117315213538</v>
      </c>
      <c r="M64" s="200"/>
      <c r="N64" s="200">
        <f>N63/(O63+N63)</f>
        <v>0.74408011258279005</v>
      </c>
      <c r="O64" s="201"/>
      <c r="P64" s="113"/>
    </row>
    <row r="65" spans="1:16">
      <c r="A65" s="141"/>
      <c r="B65" s="142"/>
      <c r="C65" s="143"/>
      <c r="D65" s="143"/>
      <c r="E65" s="214"/>
      <c r="F65" s="214"/>
      <c r="G65" s="144"/>
      <c r="H65" s="145"/>
      <c r="I65" s="140"/>
      <c r="J65" s="151"/>
      <c r="K65" s="151"/>
      <c r="L65" s="140"/>
      <c r="M65" s="140"/>
      <c r="N65" s="152"/>
      <c r="O65" s="152"/>
      <c r="P65" s="113"/>
    </row>
    <row r="66" spans="1:16">
      <c r="A66" s="438" t="s">
        <v>203</v>
      </c>
      <c r="B66" s="439"/>
      <c r="C66" s="439"/>
      <c r="D66" s="439"/>
      <c r="E66" s="439"/>
      <c r="F66" s="439"/>
      <c r="G66" s="439"/>
      <c r="H66" s="440"/>
      <c r="I66" s="140"/>
      <c r="J66" s="151"/>
      <c r="K66" s="151"/>
      <c r="L66" s="140"/>
      <c r="M66" s="140"/>
      <c r="N66" s="152"/>
      <c r="O66" s="152"/>
      <c r="P66" s="113"/>
    </row>
    <row r="67" spans="1:16">
      <c r="A67" s="172"/>
      <c r="B67" s="173"/>
      <c r="C67" s="173"/>
      <c r="D67" s="173"/>
      <c r="E67" s="217"/>
      <c r="F67" s="217"/>
      <c r="G67" s="173"/>
      <c r="H67" s="174"/>
      <c r="I67" s="140"/>
      <c r="J67" s="151"/>
      <c r="K67" s="151"/>
      <c r="L67" s="140"/>
      <c r="M67" s="140"/>
      <c r="N67" s="152"/>
      <c r="O67" s="152"/>
      <c r="P67" s="113"/>
    </row>
    <row r="68" spans="1:16">
      <c r="A68" s="141"/>
      <c r="B68" s="187" t="s">
        <v>116</v>
      </c>
      <c r="C68" s="188">
        <f>2/9</f>
        <v>0.22222222222222221</v>
      </c>
      <c r="D68" s="188"/>
      <c r="E68" s="218">
        <f>2/9</f>
        <v>0.22222222222222221</v>
      </c>
      <c r="F68" s="218"/>
      <c r="G68" s="189">
        <f>2/9</f>
        <v>0.22222222222222221</v>
      </c>
      <c r="H68" s="190"/>
      <c r="I68" s="191"/>
      <c r="J68" s="192"/>
      <c r="K68" s="192"/>
      <c r="L68" s="191"/>
      <c r="M68" s="191"/>
      <c r="N68" s="193"/>
      <c r="O68" s="193"/>
      <c r="P68" s="114"/>
    </row>
    <row r="69" spans="1:16">
      <c r="A69" s="141"/>
      <c r="B69" s="187" t="s">
        <v>229</v>
      </c>
      <c r="C69" s="188"/>
      <c r="D69" s="188"/>
      <c r="E69" s="218">
        <f>2.5/9</f>
        <v>0.27777777777777779</v>
      </c>
      <c r="F69" s="218"/>
      <c r="G69" s="189"/>
      <c r="H69" s="190"/>
      <c r="I69" s="191"/>
      <c r="J69" s="192"/>
      <c r="K69" s="192"/>
      <c r="L69" s="191"/>
      <c r="M69" s="191"/>
      <c r="N69" s="193"/>
      <c r="O69" s="193"/>
      <c r="P69" s="114"/>
    </row>
    <row r="70" spans="1:16">
      <c r="A70" s="141"/>
      <c r="B70" s="187"/>
      <c r="C70" s="188"/>
      <c r="D70" s="188"/>
      <c r="E70" s="218"/>
      <c r="F70" s="218"/>
      <c r="G70" s="189"/>
      <c r="H70" s="190"/>
      <c r="I70" s="191"/>
      <c r="J70" s="192"/>
      <c r="K70" s="192"/>
      <c r="L70" s="191"/>
      <c r="M70" s="191"/>
      <c r="N70" s="193"/>
      <c r="O70" s="193"/>
      <c r="P70" s="114"/>
    </row>
    <row r="71" spans="1:16">
      <c r="A71" s="141"/>
      <c r="B71" s="187" t="s">
        <v>117</v>
      </c>
      <c r="C71" s="188">
        <f>2.5/11</f>
        <v>0.22727272727272727</v>
      </c>
      <c r="D71" s="188"/>
      <c r="E71" s="218">
        <f>2/11</f>
        <v>0.18181818181818182</v>
      </c>
      <c r="F71" s="218"/>
      <c r="G71" s="189">
        <f>2.5/11</f>
        <v>0.22727272727272727</v>
      </c>
      <c r="H71" s="190"/>
      <c r="I71" s="191"/>
      <c r="J71" s="192"/>
      <c r="K71" s="192"/>
      <c r="L71" s="191"/>
      <c r="M71" s="191"/>
      <c r="N71" s="193"/>
      <c r="O71" s="193"/>
      <c r="P71" s="114"/>
    </row>
    <row r="72" spans="1:16">
      <c r="A72" s="141"/>
      <c r="B72" s="187" t="s">
        <v>118</v>
      </c>
      <c r="C72" s="188"/>
      <c r="D72" s="188">
        <f>1.5/14</f>
        <v>0.10714285714285714</v>
      </c>
      <c r="E72" s="218"/>
      <c r="F72" s="218">
        <f>2/14</f>
        <v>0.14285714285714285</v>
      </c>
      <c r="G72" s="189"/>
      <c r="H72" s="190">
        <f>2.5/14</f>
        <v>0.17857142857142858</v>
      </c>
      <c r="I72" s="191"/>
      <c r="J72" s="192">
        <f t="shared" ref="J72:O72" si="2">SUM(C5:C72)</f>
        <v>13.885416666666663</v>
      </c>
      <c r="K72" s="192">
        <f t="shared" si="2"/>
        <v>3.8760453377207491</v>
      </c>
      <c r="L72" s="191">
        <f t="shared" si="2"/>
        <v>10.241161616161616</v>
      </c>
      <c r="M72" s="191">
        <f t="shared" si="2"/>
        <v>3.7381298474139553</v>
      </c>
      <c r="N72" s="193">
        <f t="shared" si="2"/>
        <v>15.083017676767673</v>
      </c>
      <c r="O72" s="193">
        <f t="shared" si="2"/>
        <v>5.2116443807317125</v>
      </c>
      <c r="P72" s="114"/>
    </row>
    <row r="73" spans="1:16">
      <c r="A73" s="141"/>
      <c r="B73" s="187" t="s">
        <v>118</v>
      </c>
      <c r="C73" s="188"/>
      <c r="D73" s="188"/>
      <c r="E73" s="218"/>
      <c r="F73" s="218">
        <f>0.5/14</f>
        <v>3.5714285714285712E-2</v>
      </c>
      <c r="G73" s="189"/>
      <c r="H73" s="190"/>
      <c r="I73" s="191"/>
      <c r="J73" s="197">
        <f>J72/(J72+K72)</f>
        <v>0.78177216848684561</v>
      </c>
      <c r="K73" s="197"/>
      <c r="L73" s="197">
        <f>L72/(L72+M72)</f>
        <v>0.73259518501677834</v>
      </c>
      <c r="M73" s="197"/>
      <c r="N73" s="197"/>
      <c r="O73" s="197">
        <f>N72/(N72+O72)</f>
        <v>0.74320122375204167</v>
      </c>
      <c r="P73" s="114"/>
    </row>
    <row r="74" spans="1:16">
      <c r="A74" s="438" t="s">
        <v>204</v>
      </c>
      <c r="B74" s="439"/>
      <c r="C74" s="439"/>
      <c r="D74" s="439"/>
      <c r="E74" s="439"/>
      <c r="F74" s="439"/>
      <c r="G74" s="439"/>
      <c r="H74" s="440"/>
      <c r="I74" s="161"/>
      <c r="J74" s="162"/>
      <c r="K74" s="162"/>
      <c r="L74" s="161"/>
      <c r="M74" s="161"/>
      <c r="N74" s="163"/>
      <c r="O74" s="163"/>
      <c r="P74" s="114"/>
    </row>
    <row r="75" spans="1:16">
      <c r="A75" s="141"/>
      <c r="B75" s="142"/>
      <c r="C75" s="143"/>
      <c r="D75" s="143"/>
      <c r="E75" s="214"/>
      <c r="F75" s="214"/>
      <c r="G75" s="144"/>
      <c r="H75" s="145"/>
      <c r="I75" s="140"/>
      <c r="J75" s="151"/>
      <c r="K75" s="151"/>
      <c r="L75" s="140"/>
      <c r="M75" s="140"/>
      <c r="N75" s="152"/>
      <c r="O75" s="152"/>
      <c r="P75" s="113"/>
    </row>
    <row r="76" spans="1:16">
      <c r="A76" s="186"/>
      <c r="B76" s="164" t="s">
        <v>118</v>
      </c>
      <c r="C76" s="165"/>
      <c r="D76" s="165"/>
      <c r="E76" s="219"/>
      <c r="F76" s="219"/>
      <c r="G76" s="166"/>
      <c r="H76" s="167">
        <f>4/12</f>
        <v>0.33333333333333331</v>
      </c>
      <c r="I76" s="168"/>
      <c r="J76" s="169"/>
      <c r="K76" s="169"/>
      <c r="L76" s="168"/>
      <c r="M76" s="168"/>
      <c r="N76" s="170"/>
      <c r="O76" s="170"/>
      <c r="P76" s="113"/>
    </row>
    <row r="77" spans="1:16">
      <c r="A77" s="186"/>
      <c r="B77" s="164" t="s">
        <v>230</v>
      </c>
      <c r="C77" s="165"/>
      <c r="D77" s="165"/>
      <c r="E77" s="219"/>
      <c r="F77" s="219"/>
      <c r="G77" s="166">
        <f>6/12</f>
        <v>0.5</v>
      </c>
      <c r="H77" s="167"/>
      <c r="I77" s="168"/>
      <c r="J77" s="169"/>
      <c r="K77" s="169"/>
      <c r="L77" s="168"/>
      <c r="M77" s="168"/>
      <c r="N77" s="170"/>
      <c r="O77" s="170"/>
      <c r="P77" s="113"/>
    </row>
    <row r="78" spans="1:16">
      <c r="A78" s="186"/>
      <c r="B78" s="164" t="s">
        <v>75</v>
      </c>
      <c r="C78" s="165"/>
      <c r="D78" s="165">
        <f>2/16</f>
        <v>0.125</v>
      </c>
      <c r="E78" s="219"/>
      <c r="F78" s="219">
        <f>2/16</f>
        <v>0.125</v>
      </c>
      <c r="G78" s="166"/>
      <c r="H78" s="167"/>
      <c r="I78" s="168"/>
      <c r="J78" s="169"/>
      <c r="K78" s="169"/>
      <c r="L78" s="168"/>
      <c r="M78" s="168"/>
      <c r="N78" s="170"/>
      <c r="O78" s="170"/>
      <c r="P78" s="113"/>
    </row>
    <row r="79" spans="1:16">
      <c r="A79" s="186"/>
      <c r="B79" s="164" t="s">
        <v>82</v>
      </c>
      <c r="C79" s="165"/>
      <c r="D79" s="165">
        <f>4/16</f>
        <v>0.25</v>
      </c>
      <c r="E79" s="219"/>
      <c r="F79" s="219">
        <f>2/16</f>
        <v>0.125</v>
      </c>
      <c r="G79" s="166"/>
      <c r="H79" s="167"/>
      <c r="I79" s="168"/>
      <c r="J79" s="169">
        <f t="shared" ref="J79:O79" si="3">SUM(C5:C78)</f>
        <v>13.885416666666663</v>
      </c>
      <c r="K79" s="169">
        <f t="shared" si="3"/>
        <v>4.0010453377207487</v>
      </c>
      <c r="L79" s="168">
        <f t="shared" si="3"/>
        <v>10.241161616161616</v>
      </c>
      <c r="M79" s="168">
        <f t="shared" si="3"/>
        <v>3.8988441331282409</v>
      </c>
      <c r="N79" s="170">
        <f t="shared" si="3"/>
        <v>15.583017676767673</v>
      </c>
      <c r="O79" s="170">
        <f t="shared" si="3"/>
        <v>5.5449777140650456</v>
      </c>
      <c r="P79" s="113"/>
    </row>
    <row r="80" spans="1:16">
      <c r="A80" s="225"/>
      <c r="B80" s="164" t="s">
        <v>95</v>
      </c>
      <c r="C80" s="165"/>
      <c r="D80" s="165">
        <f>2/16</f>
        <v>0.125</v>
      </c>
      <c r="E80" s="219"/>
      <c r="F80" s="219"/>
      <c r="G80" s="166"/>
      <c r="H80" s="167"/>
      <c r="I80" s="168"/>
      <c r="J80" s="169"/>
      <c r="K80" s="169"/>
      <c r="L80" s="168"/>
      <c r="M80" s="168"/>
      <c r="N80" s="170"/>
      <c r="O80" s="170"/>
      <c r="P80" s="113"/>
    </row>
    <row r="81" spans="1:16">
      <c r="A81" s="441" t="s">
        <v>205</v>
      </c>
      <c r="B81" s="442"/>
      <c r="C81" s="442"/>
      <c r="D81" s="442"/>
      <c r="E81" s="442"/>
      <c r="F81" s="442"/>
      <c r="G81" s="442"/>
      <c r="H81" s="443"/>
      <c r="I81" s="168"/>
      <c r="J81" s="196">
        <f>J79/(J79+K79)</f>
        <v>0.77630873356959451</v>
      </c>
      <c r="K81" s="196"/>
      <c r="L81" s="196">
        <f>L79/(L79+M79)</f>
        <v>0.72426856097112624</v>
      </c>
      <c r="M81" s="196"/>
      <c r="N81" s="196">
        <f>N79/(N79+O79)</f>
        <v>0.73755306116400554</v>
      </c>
      <c r="O81" s="198"/>
      <c r="P81" s="113"/>
    </row>
    <row r="82" spans="1:16">
      <c r="A82" s="141"/>
      <c r="B82" s="142"/>
      <c r="C82" s="143"/>
      <c r="D82" s="143"/>
      <c r="E82" s="214"/>
      <c r="F82" s="214"/>
      <c r="G82" s="144"/>
      <c r="H82" s="145"/>
      <c r="I82" s="140"/>
      <c r="J82" s="151"/>
      <c r="K82" s="151"/>
      <c r="L82" s="140"/>
      <c r="M82" s="140"/>
      <c r="N82" s="152"/>
      <c r="O82" s="152"/>
      <c r="P82" s="113"/>
    </row>
    <row r="83" spans="1:16">
      <c r="A83" s="141"/>
      <c r="B83" s="175" t="s">
        <v>118</v>
      </c>
      <c r="C83" s="176"/>
      <c r="D83" s="176">
        <f>4/16</f>
        <v>0.25</v>
      </c>
      <c r="E83" s="220"/>
      <c r="F83" s="220">
        <f>4/16</f>
        <v>0.25</v>
      </c>
      <c r="G83" s="177"/>
      <c r="H83" s="178">
        <f>4/16</f>
        <v>0.25</v>
      </c>
      <c r="I83" s="179"/>
      <c r="J83" s="180"/>
      <c r="K83" s="180"/>
      <c r="L83" s="179"/>
      <c r="M83" s="179"/>
      <c r="N83" s="181"/>
      <c r="O83" s="181"/>
      <c r="P83" s="113"/>
    </row>
    <row r="84" spans="1:16" ht="15.75" thickBot="1">
      <c r="A84" s="171"/>
      <c r="B84" s="182"/>
      <c r="C84" s="183"/>
      <c r="D84" s="183"/>
      <c r="E84" s="221"/>
      <c r="F84" s="221"/>
      <c r="G84" s="184"/>
      <c r="H84" s="185"/>
      <c r="I84" s="179"/>
      <c r="J84" s="180">
        <f t="shared" ref="J84:O84" si="4">SUM(C5:C83)</f>
        <v>13.885416666666663</v>
      </c>
      <c r="K84" s="180">
        <f t="shared" si="4"/>
        <v>4.6260453377207487</v>
      </c>
      <c r="L84" s="179">
        <f t="shared" si="4"/>
        <v>10.241161616161616</v>
      </c>
      <c r="M84" s="179">
        <f t="shared" si="4"/>
        <v>4.2738441331282413</v>
      </c>
      <c r="N84" s="181">
        <f t="shared" si="4"/>
        <v>15.583017676767673</v>
      </c>
      <c r="O84" s="181">
        <f t="shared" si="4"/>
        <v>5.7949777140650456</v>
      </c>
      <c r="P84" s="113"/>
    </row>
    <row r="85" spans="1:16">
      <c r="A85" s="140"/>
      <c r="B85" s="179"/>
      <c r="C85" s="179"/>
      <c r="D85" s="179"/>
      <c r="E85" s="222"/>
      <c r="F85" s="222"/>
      <c r="G85" s="179"/>
      <c r="H85" s="179"/>
      <c r="I85" s="179"/>
      <c r="J85" s="194">
        <f>J84/(J84+K84)</f>
        <v>0.75009832628971562</v>
      </c>
      <c r="K85" s="194"/>
      <c r="L85" s="194">
        <f>L84/(L84+M84)</f>
        <v>0.70555684186777967</v>
      </c>
      <c r="M85" s="194"/>
      <c r="N85" s="194">
        <f>N84/(N84+O84)</f>
        <v>0.72892791825794667</v>
      </c>
      <c r="O85" s="195"/>
      <c r="P85" s="113"/>
    </row>
    <row r="86" spans="1:16">
      <c r="A86" s="113"/>
      <c r="B86" s="115"/>
      <c r="C86" s="115"/>
      <c r="D86" s="115"/>
      <c r="E86" s="223"/>
      <c r="F86" s="223"/>
      <c r="G86" s="115"/>
      <c r="H86" s="115"/>
      <c r="I86" s="115"/>
      <c r="J86" s="235" t="s">
        <v>66</v>
      </c>
      <c r="K86" s="235"/>
      <c r="L86" s="235" t="s">
        <v>231</v>
      </c>
      <c r="M86" s="235"/>
      <c r="N86" s="235" t="s">
        <v>67</v>
      </c>
      <c r="O86" s="115"/>
      <c r="P86" s="113"/>
    </row>
    <row r="87" spans="1:16">
      <c r="A87" s="113"/>
      <c r="B87" s="113"/>
      <c r="C87" s="113"/>
      <c r="D87" s="113"/>
      <c r="E87" s="224"/>
      <c r="F87" s="224"/>
      <c r="G87" s="113"/>
      <c r="H87" s="113"/>
      <c r="I87" s="113"/>
      <c r="J87" s="113"/>
      <c r="K87" s="113"/>
      <c r="L87" s="113"/>
      <c r="M87" s="113"/>
      <c r="N87" s="113"/>
      <c r="O87" s="113"/>
      <c r="P87" s="113"/>
    </row>
    <row r="88" spans="1:16">
      <c r="I88" s="232" t="s">
        <v>232</v>
      </c>
      <c r="J88" s="226">
        <f>C7+C8+C12+C13+C14+C15+C43+C45+C46+C47+C68+C69</f>
        <v>6.041666666666667</v>
      </c>
      <c r="K88" s="227">
        <f>J88/J84</f>
        <v>0.43510877719429875</v>
      </c>
      <c r="L88" s="228">
        <f>E7+E8+E12+E13+E15+E43+E46+E47+E68+E69</f>
        <v>3.8055555555555558</v>
      </c>
      <c r="M88" s="229">
        <f>L88/L84</f>
        <v>0.37159413142645792</v>
      </c>
      <c r="N88" s="230">
        <f>G7+G8+G12+G13+G14+G15+G43+G45+G46+G47+G68</f>
        <v>5.7638888888888884</v>
      </c>
      <c r="O88" s="231">
        <f>N88/N84</f>
        <v>0.3698827151741042</v>
      </c>
    </row>
  </sheetData>
  <mergeCells count="10">
    <mergeCell ref="A66:H66"/>
    <mergeCell ref="A74:H74"/>
    <mergeCell ref="A81:H81"/>
    <mergeCell ref="C1:D1"/>
    <mergeCell ref="G1:H1"/>
    <mergeCell ref="C2:D2"/>
    <mergeCell ref="G2:H2"/>
    <mergeCell ref="A42:H42"/>
    <mergeCell ref="A3:H3"/>
    <mergeCell ref="E2:F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Allaskeret_2014-2015</vt:lpstr>
      <vt:lpstr>oraadohoz vacant-ok</vt:lpstr>
      <vt:lpstr>Szazalek szamitas</vt:lpstr>
      <vt:lpstr>'Allaskeret_2014-2015'!Print_Area</vt:lpstr>
    </vt:vector>
  </TitlesOfParts>
  <Company>Sapientia EMTE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Adorján Piroska</dc:creator>
  <cp:lastModifiedBy>misi</cp:lastModifiedBy>
  <cp:lastPrinted>2015-09-10T10:31:13Z</cp:lastPrinted>
  <dcterms:created xsi:type="dcterms:W3CDTF">2008-11-14T11:58:51Z</dcterms:created>
  <dcterms:modified xsi:type="dcterms:W3CDTF">2015-12-17T17:34:25Z</dcterms:modified>
</cp:coreProperties>
</file>